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PROJETS\"/>
    </mc:Choice>
  </mc:AlternateContent>
  <xr:revisionPtr revIDLastSave="0" documentId="13_ncr:1_{28160C1B-2524-4892-BFA7-55045A52FF02}" xr6:coauthVersionLast="47" xr6:coauthVersionMax="47" xr10:uidLastSave="{00000000-0000-0000-0000-000000000000}"/>
  <bookViews>
    <workbookView xWindow="-108" yWindow="-108" windowWidth="23256" windowHeight="12456" activeTab="1" xr2:uid="{DF8665FC-46B6-4E71-A703-BD237158C04E}"/>
  </bookViews>
  <sheets>
    <sheet name="TOTAUX" sheetId="4" r:id="rId1"/>
    <sheet name="2023" sheetId="12" r:id="rId2"/>
    <sheet name="BILAN 31.03.2023" sheetId="13" r:id="rId3"/>
    <sheet name="2022" sheetId="7" r:id="rId4"/>
    <sheet name="BILAN 31.12.2022" sheetId="11" r:id="rId5"/>
    <sheet name="BILAN 30.09.2022" sheetId="10" r:id="rId6"/>
    <sheet name="BILAN 30.06.2022" sheetId="9" r:id="rId7"/>
    <sheet name="BILAN 31.03.2022" sheetId="8" r:id="rId8"/>
    <sheet name="2021" sheetId="3" r:id="rId9"/>
    <sheet name="BILAN 30.06.2021" sheetId="6" r:id="rId10"/>
    <sheet name="30.06.2021" sheetId="5" r:id="rId11"/>
  </sheets>
  <definedNames>
    <definedName name="_xlnm.Print_Titles" localSheetId="8">'2021'!$1:$3</definedName>
    <definedName name="_xlnm.Print_Titles" localSheetId="3">'2022'!$1:$2</definedName>
    <definedName name="_xlnm.Print_Titles" localSheetId="1">'2023'!$1:$2</definedName>
    <definedName name="_xlnm.Print_Titles" localSheetId="10">'30.06.2021'!$1:$3</definedName>
    <definedName name="_xlnm.Print_Titles" localSheetId="9">'BILAN 30.06.2021'!$1:$3</definedName>
    <definedName name="_xlnm.Print_Titles" localSheetId="6">'BILAN 30.06.2022'!$1:$13</definedName>
    <definedName name="_xlnm.Print_Titles" localSheetId="5">'BILAN 30.09.2022'!$1:$13</definedName>
    <definedName name="_xlnm.Print_Titles" localSheetId="7">'BILAN 31.03.2022'!$1:$13</definedName>
    <definedName name="_xlnm.Print_Titles" localSheetId="2">'BILAN 31.03.2023'!$1:$2</definedName>
    <definedName name="_xlnm.Print_Titles" localSheetId="4">'BILAN 31.12.2022'!$1:$13</definedName>
    <definedName name="_xlnm.Print_Titles" localSheetId="0">TOTAUX!$1:$3</definedName>
    <definedName name="_xlnm.Print_Area" localSheetId="8">'2021'!$A$1:$R$28</definedName>
    <definedName name="_xlnm.Print_Area" localSheetId="3">'2022'!$A$1:$L$30</definedName>
    <definedName name="_xlnm.Print_Area" localSheetId="1">'2023'!$A$1:$L$25</definedName>
    <definedName name="_xlnm.Print_Area" localSheetId="10">'30.06.2021'!$A$1:$R$20</definedName>
    <definedName name="_xlnm.Print_Area" localSheetId="9">'BILAN 30.06.2021'!$A$1:$R$24</definedName>
    <definedName name="_xlnm.Print_Area" localSheetId="6">'BILAN 30.06.2022'!$A$1:$K$20</definedName>
    <definedName name="_xlnm.Print_Area" localSheetId="5">'BILAN 30.09.2022'!$A$1:$K$20</definedName>
    <definedName name="_xlnm.Print_Area" localSheetId="7">'BILAN 31.03.2022'!$A$1:$K$20</definedName>
    <definedName name="_xlnm.Print_Area" localSheetId="2">'BILAN 31.03.2023'!$A$1:$L$16</definedName>
    <definedName name="_xlnm.Print_Area" localSheetId="4">'BILAN 31.12.2022'!$A$1:$K$20</definedName>
    <definedName name="_xlnm.Print_Area" localSheetId="0">TOTAUX!$A$1:$R$63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4" l="1"/>
  <c r="D61" i="4"/>
  <c r="G59" i="4"/>
  <c r="H59" i="4" s="1"/>
  <c r="E59" i="4"/>
  <c r="F59" i="4" s="1"/>
  <c r="I59" i="4" s="1"/>
  <c r="G58" i="4"/>
  <c r="H58" i="4" s="1"/>
  <c r="E58" i="4"/>
  <c r="F58" i="4" s="1"/>
  <c r="F25" i="4"/>
  <c r="J25" i="4" s="1"/>
  <c r="F9" i="12"/>
  <c r="J9" i="12" s="1"/>
  <c r="F20" i="12"/>
  <c r="F21" i="12"/>
  <c r="E21" i="12"/>
  <c r="E20" i="12"/>
  <c r="E18" i="12"/>
  <c r="F18" i="12" s="1"/>
  <c r="G56" i="4"/>
  <c r="H56" i="4" s="1"/>
  <c r="E56" i="4"/>
  <c r="F56" i="4" s="1"/>
  <c r="F8" i="12"/>
  <c r="J8" i="12" s="1"/>
  <c r="F24" i="4"/>
  <c r="J24" i="4" s="1"/>
  <c r="F12" i="13"/>
  <c r="J14" i="13"/>
  <c r="G12" i="13"/>
  <c r="H12" i="13" s="1"/>
  <c r="G16" i="12"/>
  <c r="H16" i="12" s="1"/>
  <c r="G14" i="12"/>
  <c r="H14" i="12" s="1"/>
  <c r="G18" i="12" s="1"/>
  <c r="H18" i="12" s="1"/>
  <c r="G26" i="7"/>
  <c r="H26" i="7" s="1"/>
  <c r="H24" i="7"/>
  <c r="G24" i="7"/>
  <c r="G22" i="7"/>
  <c r="H22" i="7" s="1"/>
  <c r="G20" i="7"/>
  <c r="H20" i="7" s="1"/>
  <c r="H19" i="7"/>
  <c r="G19" i="7"/>
  <c r="G17" i="7"/>
  <c r="H17" i="7" s="1"/>
  <c r="K14" i="13"/>
  <c r="E12" i="13"/>
  <c r="D14" i="13"/>
  <c r="F7" i="13"/>
  <c r="J7" i="13" s="1"/>
  <c r="E16" i="12"/>
  <c r="F16" i="12" s="1"/>
  <c r="D16" i="12"/>
  <c r="G54" i="4"/>
  <c r="H54" i="4" s="1"/>
  <c r="E54" i="4"/>
  <c r="F54" i="4" s="1"/>
  <c r="G12" i="11"/>
  <c r="H12" i="11" s="1"/>
  <c r="I12" i="11" s="1"/>
  <c r="F7" i="12"/>
  <c r="J7" i="12" s="1"/>
  <c r="D28" i="7"/>
  <c r="E14" i="12"/>
  <c r="F14" i="12" s="1"/>
  <c r="K14" i="11"/>
  <c r="D14" i="11"/>
  <c r="E12" i="11"/>
  <c r="F12" i="11" s="1"/>
  <c r="F7" i="11"/>
  <c r="J7" i="11" s="1"/>
  <c r="J14" i="11" s="1"/>
  <c r="E26" i="7"/>
  <c r="F26" i="7" s="1"/>
  <c r="G52" i="4"/>
  <c r="H52" i="4" s="1"/>
  <c r="E52" i="4"/>
  <c r="F52" i="4" s="1"/>
  <c r="F11" i="7"/>
  <c r="J11" i="7" s="1"/>
  <c r="F23" i="4"/>
  <c r="J23" i="4" s="1"/>
  <c r="K30" i="4"/>
  <c r="K14" i="7"/>
  <c r="K13" i="7"/>
  <c r="K29" i="4"/>
  <c r="F7" i="10"/>
  <c r="J7" i="10" s="1"/>
  <c r="G12" i="10"/>
  <c r="H12" i="10" s="1"/>
  <c r="E12" i="10"/>
  <c r="F12" i="10" s="1"/>
  <c r="I12" i="10" s="1"/>
  <c r="I14" i="10" s="1"/>
  <c r="K14" i="10"/>
  <c r="D14" i="10"/>
  <c r="F10" i="7"/>
  <c r="J10" i="7" s="1"/>
  <c r="F22" i="4"/>
  <c r="J22" i="4" s="1"/>
  <c r="E24" i="7"/>
  <c r="F24" i="7" s="1"/>
  <c r="G50" i="4"/>
  <c r="H50" i="4" s="1"/>
  <c r="E50" i="4"/>
  <c r="F50" i="4" s="1"/>
  <c r="D14" i="9"/>
  <c r="F12" i="9"/>
  <c r="F7" i="9"/>
  <c r="J7" i="9" s="1"/>
  <c r="G12" i="9"/>
  <c r="H12" i="9" s="1"/>
  <c r="E12" i="9"/>
  <c r="K14" i="9"/>
  <c r="F9" i="7"/>
  <c r="J9" i="7" s="1"/>
  <c r="F21" i="4"/>
  <c r="E22" i="7"/>
  <c r="F22" i="7" s="1"/>
  <c r="G48" i="4"/>
  <c r="H48" i="4" s="1"/>
  <c r="E48" i="4"/>
  <c r="F48" i="4" s="1"/>
  <c r="E20" i="7"/>
  <c r="F20" i="7" s="1"/>
  <c r="G46" i="4"/>
  <c r="H46" i="4" s="1"/>
  <c r="E46" i="4"/>
  <c r="F46" i="4" s="1"/>
  <c r="G21" i="12" l="1"/>
  <c r="H21" i="12" s="1"/>
  <c r="I21" i="12" s="1"/>
  <c r="G20" i="12"/>
  <c r="H20" i="12" s="1"/>
  <c r="D18" i="12"/>
  <c r="I46" i="4"/>
  <c r="I12" i="13"/>
  <c r="I14" i="13" s="1"/>
  <c r="I15" i="13" s="1"/>
  <c r="I16" i="12"/>
  <c r="I14" i="11"/>
  <c r="I15" i="11" s="1"/>
  <c r="K23" i="12"/>
  <c r="J23" i="12"/>
  <c r="J14" i="10"/>
  <c r="I15" i="10" s="1"/>
  <c r="I12" i="9"/>
  <c r="J14" i="9"/>
  <c r="K14" i="8"/>
  <c r="J14" i="8"/>
  <c r="I14" i="8"/>
  <c r="H12" i="8"/>
  <c r="G12" i="8"/>
  <c r="E12" i="8"/>
  <c r="F12" i="8" s="1"/>
  <c r="D14" i="8"/>
  <c r="F7" i="8"/>
  <c r="I18" i="12" l="1"/>
  <c r="D20" i="12"/>
  <c r="I14" i="9"/>
  <c r="I15" i="9" s="1"/>
  <c r="J7" i="8"/>
  <c r="I12" i="8"/>
  <c r="I15" i="8"/>
  <c r="I20" i="12" l="1"/>
  <c r="D23" i="12"/>
  <c r="I14" i="12"/>
  <c r="I23" i="12" s="1"/>
  <c r="I24" i="12" s="1"/>
  <c r="E19" i="7"/>
  <c r="F19" i="7" s="1"/>
  <c r="D19" i="7"/>
  <c r="G45" i="4"/>
  <c r="H45" i="4" s="1"/>
  <c r="E45" i="4"/>
  <c r="F45" i="4" s="1"/>
  <c r="D8" i="7"/>
  <c r="F8" i="7"/>
  <c r="J8" i="7" s="1"/>
  <c r="F20" i="4"/>
  <c r="E17" i="7"/>
  <c r="F17" i="7" s="1"/>
  <c r="F7" i="7"/>
  <c r="E16" i="7"/>
  <c r="F16" i="7" s="1"/>
  <c r="K28" i="7"/>
  <c r="G16" i="7"/>
  <c r="H16" i="7" s="1"/>
  <c r="E43" i="4"/>
  <c r="F43" i="4" s="1"/>
  <c r="G43" i="4"/>
  <c r="H43" i="4" s="1"/>
  <c r="D26" i="3"/>
  <c r="Q24" i="3"/>
  <c r="P24" i="3"/>
  <c r="O24" i="3"/>
  <c r="N24" i="3"/>
  <c r="M24" i="3"/>
  <c r="G24" i="3"/>
  <c r="H24" i="3" s="1"/>
  <c r="E24" i="3"/>
  <c r="F24" i="3" s="1"/>
  <c r="F9" i="3"/>
  <c r="F19" i="4"/>
  <c r="G42" i="4"/>
  <c r="H42" i="4" s="1"/>
  <c r="E42" i="4"/>
  <c r="F42" i="4" s="1"/>
  <c r="Q10" i="4"/>
  <c r="Q11" i="4"/>
  <c r="E22" i="3"/>
  <c r="F22" i="3" s="1"/>
  <c r="F8" i="3"/>
  <c r="D8" i="3"/>
  <c r="D9" i="3" s="1"/>
  <c r="J9" i="3" s="1"/>
  <c r="F18" i="4"/>
  <c r="D18" i="4"/>
  <c r="D19" i="4" s="1"/>
  <c r="D20" i="4" s="1"/>
  <c r="J21" i="4" s="1"/>
  <c r="G40" i="4"/>
  <c r="H40" i="4" s="1"/>
  <c r="E40" i="4"/>
  <c r="F40" i="4" s="1"/>
  <c r="E20" i="3"/>
  <c r="F20" i="3" s="1"/>
  <c r="G38" i="4"/>
  <c r="H38" i="4" s="1"/>
  <c r="E38" i="4"/>
  <c r="F38" i="4" s="1"/>
  <c r="F7" i="5"/>
  <c r="I18" i="6"/>
  <c r="F13" i="6"/>
  <c r="S15" i="6"/>
  <c r="R15" i="6"/>
  <c r="Q15" i="6"/>
  <c r="P15" i="6"/>
  <c r="O15" i="6"/>
  <c r="N15" i="6"/>
  <c r="M15" i="6"/>
  <c r="N12" i="6"/>
  <c r="M12" i="6"/>
  <c r="R12" i="6"/>
  <c r="Q12" i="6"/>
  <c r="P12" i="6"/>
  <c r="O12" i="6"/>
  <c r="F15" i="6"/>
  <c r="I20" i="7" l="1"/>
  <c r="D22" i="7"/>
  <c r="D24" i="7" s="1"/>
  <c r="D26" i="7" s="1"/>
  <c r="I26" i="7" s="1"/>
  <c r="I19" i="7"/>
  <c r="I17" i="7"/>
  <c r="I43" i="4"/>
  <c r="J7" i="7"/>
  <c r="J19" i="4"/>
  <c r="J8" i="3"/>
  <c r="J18" i="4"/>
  <c r="S12" i="6"/>
  <c r="I24" i="7" l="1"/>
  <c r="I22" i="7"/>
  <c r="J28" i="7"/>
  <c r="I16" i="7"/>
  <c r="O19" i="4"/>
  <c r="P19" i="4"/>
  <c r="N19" i="4"/>
  <c r="M19" i="4"/>
  <c r="P18" i="4"/>
  <c r="O18" i="4"/>
  <c r="N18" i="4"/>
  <c r="M18" i="4"/>
  <c r="R8" i="3"/>
  <c r="P8" i="3"/>
  <c r="M8" i="3"/>
  <c r="O8" i="3"/>
  <c r="N8" i="3"/>
  <c r="K18" i="6"/>
  <c r="H16" i="6"/>
  <c r="G16" i="6"/>
  <c r="E16" i="6"/>
  <c r="F16" i="6" s="1"/>
  <c r="I16" i="6" s="1"/>
  <c r="R16" i="6" s="1"/>
  <c r="G15" i="6"/>
  <c r="H15" i="6" s="1"/>
  <c r="E15" i="6"/>
  <c r="D15" i="6"/>
  <c r="R14" i="6"/>
  <c r="Q14" i="6"/>
  <c r="P14" i="6"/>
  <c r="O14" i="6"/>
  <c r="N14" i="6"/>
  <c r="M14" i="6"/>
  <c r="G13" i="6"/>
  <c r="H13" i="6" s="1"/>
  <c r="E13" i="6"/>
  <c r="I13" i="6" s="1"/>
  <c r="Q13" i="6" s="1"/>
  <c r="G12" i="6"/>
  <c r="H12" i="6" s="1"/>
  <c r="E12" i="6"/>
  <c r="F12" i="6" s="1"/>
  <c r="S11" i="6"/>
  <c r="F7" i="6"/>
  <c r="J7" i="6" s="1"/>
  <c r="F6" i="6"/>
  <c r="J6" i="6" s="1"/>
  <c r="Q4" i="6"/>
  <c r="S4" i="6" s="1"/>
  <c r="K18" i="5"/>
  <c r="H16" i="5"/>
  <c r="G16" i="5"/>
  <c r="E16" i="5"/>
  <c r="F16" i="5" s="1"/>
  <c r="I16" i="5" s="1"/>
  <c r="R16" i="5" s="1"/>
  <c r="H15" i="5"/>
  <c r="G15" i="5"/>
  <c r="E15" i="5"/>
  <c r="F15" i="5" s="1"/>
  <c r="D15" i="5"/>
  <c r="S14" i="5" s="1"/>
  <c r="R14" i="5"/>
  <c r="Q14" i="5"/>
  <c r="P14" i="5"/>
  <c r="O14" i="5"/>
  <c r="N14" i="5"/>
  <c r="M14" i="5"/>
  <c r="G13" i="5"/>
  <c r="H13" i="5" s="1"/>
  <c r="E13" i="5"/>
  <c r="F13" i="5" s="1"/>
  <c r="I13" i="5" s="1"/>
  <c r="Q13" i="5" s="1"/>
  <c r="G12" i="5"/>
  <c r="H12" i="5" s="1"/>
  <c r="E12" i="5"/>
  <c r="F12" i="5" s="1"/>
  <c r="I12" i="5" s="1"/>
  <c r="S11" i="5"/>
  <c r="J7" i="5"/>
  <c r="F6" i="5"/>
  <c r="J6" i="5" s="1"/>
  <c r="Q4" i="5"/>
  <c r="S4" i="5" s="1"/>
  <c r="I28" i="7" l="1"/>
  <c r="S14" i="6"/>
  <c r="J18" i="6"/>
  <c r="J18" i="5"/>
  <c r="M7" i="6"/>
  <c r="R7" i="6"/>
  <c r="Q7" i="6"/>
  <c r="N7" i="6"/>
  <c r="P7" i="6"/>
  <c r="O7" i="6"/>
  <c r="I12" i="6"/>
  <c r="D18" i="6"/>
  <c r="I15" i="6"/>
  <c r="R7" i="5"/>
  <c r="Q7" i="5"/>
  <c r="P7" i="5"/>
  <c r="O7" i="5"/>
  <c r="N7" i="5"/>
  <c r="M7" i="5"/>
  <c r="P12" i="5"/>
  <c r="O12" i="5"/>
  <c r="N12" i="5"/>
  <c r="S12" i="5" s="1"/>
  <c r="I18" i="5"/>
  <c r="M12" i="5"/>
  <c r="R12" i="5"/>
  <c r="Q12" i="5"/>
  <c r="D18" i="5"/>
  <c r="I15" i="5"/>
  <c r="I10" i="4"/>
  <c r="I9" i="4"/>
  <c r="I8" i="4"/>
  <c r="I7" i="4"/>
  <c r="I6" i="4"/>
  <c r="K61" i="4"/>
  <c r="K64" i="4" s="1"/>
  <c r="G36" i="4"/>
  <c r="H36" i="4" s="1"/>
  <c r="E36" i="4"/>
  <c r="F36" i="4" s="1"/>
  <c r="G35" i="4"/>
  <c r="H35" i="4" s="1"/>
  <c r="E35" i="4"/>
  <c r="F35" i="4" s="1"/>
  <c r="D35" i="4"/>
  <c r="D38" i="4" s="1"/>
  <c r="J20" i="4" s="1"/>
  <c r="R34" i="4"/>
  <c r="Q34" i="4"/>
  <c r="Q37" i="4" s="1"/>
  <c r="Q39" i="4" s="1"/>
  <c r="Q41" i="4" s="1"/>
  <c r="P34" i="4"/>
  <c r="P37" i="4" s="1"/>
  <c r="P39" i="4" s="1"/>
  <c r="P41" i="4" s="1"/>
  <c r="O34" i="4"/>
  <c r="O37" i="4" s="1"/>
  <c r="O39" i="4" s="1"/>
  <c r="O41" i="4" s="1"/>
  <c r="N34" i="4"/>
  <c r="N37" i="4" s="1"/>
  <c r="N39" i="4" s="1"/>
  <c r="N41" i="4" s="1"/>
  <c r="M34" i="4"/>
  <c r="M37" i="4" s="1"/>
  <c r="M39" i="4" s="1"/>
  <c r="M41" i="4" s="1"/>
  <c r="G33" i="4"/>
  <c r="H33" i="4" s="1"/>
  <c r="E33" i="4"/>
  <c r="F33" i="4" s="1"/>
  <c r="G32" i="4"/>
  <c r="H32" i="4" s="1"/>
  <c r="E32" i="4"/>
  <c r="F32" i="4" s="1"/>
  <c r="S31" i="4"/>
  <c r="F17" i="4"/>
  <c r="J17" i="4" s="1"/>
  <c r="F16" i="4"/>
  <c r="J16" i="4" s="1"/>
  <c r="Q14" i="4"/>
  <c r="Q19" i="4" s="1"/>
  <c r="S19" i="4" s="1"/>
  <c r="G18" i="3"/>
  <c r="H18" i="3" s="1"/>
  <c r="R16" i="3"/>
  <c r="R19" i="3" s="1"/>
  <c r="R21" i="3" s="1"/>
  <c r="Q16" i="3"/>
  <c r="Q19" i="3" s="1"/>
  <c r="Q21" i="3" s="1"/>
  <c r="Q23" i="3" s="1"/>
  <c r="P16" i="3"/>
  <c r="P19" i="3" s="1"/>
  <c r="P21" i="3" s="1"/>
  <c r="P23" i="3" s="1"/>
  <c r="O16" i="3"/>
  <c r="O19" i="3" s="1"/>
  <c r="O21" i="3" s="1"/>
  <c r="O23" i="3" s="1"/>
  <c r="N16" i="3"/>
  <c r="N19" i="3" s="1"/>
  <c r="N21" i="3" s="1"/>
  <c r="N23" i="3" s="1"/>
  <c r="M16" i="3"/>
  <c r="M19" i="3" s="1"/>
  <c r="M21" i="3" s="1"/>
  <c r="M23" i="3" s="1"/>
  <c r="G17" i="3"/>
  <c r="Q4" i="3"/>
  <c r="Q8" i="3" s="1"/>
  <c r="S8" i="3" s="1"/>
  <c r="F7" i="3"/>
  <c r="G15" i="3"/>
  <c r="S13" i="3"/>
  <c r="G14" i="3"/>
  <c r="E18" i="3"/>
  <c r="F18" i="3" s="1"/>
  <c r="I29" i="7" l="1"/>
  <c r="J61" i="4"/>
  <c r="J64" i="4" s="1"/>
  <c r="S14" i="4"/>
  <c r="Q18" i="4"/>
  <c r="S4" i="3"/>
  <c r="I11" i="4"/>
  <c r="D40" i="4"/>
  <c r="S37" i="4"/>
  <c r="I38" i="4"/>
  <c r="S7" i="5"/>
  <c r="S7" i="6"/>
  <c r="I19" i="5"/>
  <c r="I19" i="6"/>
  <c r="N15" i="5"/>
  <c r="M15" i="5"/>
  <c r="R15" i="5"/>
  <c r="Q15" i="5"/>
  <c r="P15" i="5"/>
  <c r="O15" i="5"/>
  <c r="S15" i="5" s="1"/>
  <c r="I32" i="4"/>
  <c r="N32" i="4" s="1"/>
  <c r="S34" i="4"/>
  <c r="I36" i="4"/>
  <c r="R36" i="4" s="1"/>
  <c r="I35" i="4"/>
  <c r="R17" i="4"/>
  <c r="O17" i="4"/>
  <c r="Q17" i="4"/>
  <c r="P17" i="4"/>
  <c r="N17" i="4"/>
  <c r="M17" i="4"/>
  <c r="I33" i="4"/>
  <c r="Q33" i="4" s="1"/>
  <c r="I18" i="3"/>
  <c r="R18" i="3" s="1"/>
  <c r="O32" i="4" l="1"/>
  <c r="D42" i="4"/>
  <c r="S18" i="4"/>
  <c r="Q32" i="4"/>
  <c r="M38" i="4"/>
  <c r="Q38" i="4"/>
  <c r="P38" i="4"/>
  <c r="O38" i="4"/>
  <c r="N38" i="4"/>
  <c r="P32" i="4"/>
  <c r="M32" i="4"/>
  <c r="S39" i="4"/>
  <c r="I40" i="4"/>
  <c r="R32" i="4"/>
  <c r="R61" i="4" s="1"/>
  <c r="S17" i="4"/>
  <c r="M35" i="4"/>
  <c r="P35" i="4"/>
  <c r="N35" i="4"/>
  <c r="R35" i="4"/>
  <c r="Q35" i="4"/>
  <c r="O35" i="4"/>
  <c r="E17" i="3"/>
  <c r="F17" i="3" s="1"/>
  <c r="H17" i="3"/>
  <c r="D17" i="3"/>
  <c r="J7" i="3"/>
  <c r="R7" i="3" s="1"/>
  <c r="F6" i="3"/>
  <c r="J6" i="3" s="1"/>
  <c r="H15" i="3"/>
  <c r="G20" i="3" s="1"/>
  <c r="H20" i="3" s="1"/>
  <c r="E15" i="3"/>
  <c r="K26" i="3"/>
  <c r="K22" i="5" s="1"/>
  <c r="H14" i="3"/>
  <c r="G22" i="3" s="1"/>
  <c r="H22" i="3" s="1"/>
  <c r="E14" i="3"/>
  <c r="D45" i="4" l="1"/>
  <c r="D48" i="4" s="1"/>
  <c r="D50" i="4" s="1"/>
  <c r="D52" i="4" s="1"/>
  <c r="Q40" i="4"/>
  <c r="S38" i="4"/>
  <c r="S41" i="4"/>
  <c r="I42" i="4"/>
  <c r="O40" i="4"/>
  <c r="N40" i="4"/>
  <c r="M40" i="4"/>
  <c r="P40" i="4"/>
  <c r="S32" i="4"/>
  <c r="S16" i="3"/>
  <c r="D20" i="3"/>
  <c r="S35" i="4"/>
  <c r="F15" i="3"/>
  <c r="I15" i="3" s="1"/>
  <c r="Q15" i="3" s="1"/>
  <c r="Q7" i="3"/>
  <c r="P7" i="3"/>
  <c r="O7" i="3"/>
  <c r="N7" i="3"/>
  <c r="M7" i="3"/>
  <c r="F14" i="3"/>
  <c r="I14" i="3" s="1"/>
  <c r="I17" i="3"/>
  <c r="R20" i="3" s="1"/>
  <c r="J26" i="3"/>
  <c r="I52" i="4" l="1"/>
  <c r="D54" i="4"/>
  <c r="D56" i="4" s="1"/>
  <c r="D58" i="4" s="1"/>
  <c r="I58" i="4" s="1"/>
  <c r="I50" i="4"/>
  <c r="I48" i="4"/>
  <c r="I45" i="4"/>
  <c r="P42" i="4"/>
  <c r="P61" i="4" s="1"/>
  <c r="M42" i="4"/>
  <c r="O42" i="4"/>
  <c r="O61" i="4" s="1"/>
  <c r="N42" i="4"/>
  <c r="N61" i="4" s="1"/>
  <c r="Q42" i="4"/>
  <c r="Q61" i="4" s="1"/>
  <c r="S40" i="4"/>
  <c r="D22" i="3"/>
  <c r="S19" i="3"/>
  <c r="I20" i="3"/>
  <c r="J22" i="5"/>
  <c r="S7" i="3"/>
  <c r="O17" i="3"/>
  <c r="R17" i="3"/>
  <c r="Q17" i="3"/>
  <c r="M17" i="3"/>
  <c r="N17" i="3"/>
  <c r="P17" i="3"/>
  <c r="M14" i="3"/>
  <c r="M9" i="3" s="1"/>
  <c r="N14" i="3"/>
  <c r="N9" i="3" s="1"/>
  <c r="O14" i="3"/>
  <c r="O9" i="3" s="1"/>
  <c r="Q14" i="3"/>
  <c r="Q9" i="3" s="1"/>
  <c r="R14" i="3"/>
  <c r="P14" i="3"/>
  <c r="P9" i="3" s="1"/>
  <c r="I56" i="4" l="1"/>
  <c r="D64" i="4"/>
  <c r="I54" i="4"/>
  <c r="S42" i="4"/>
  <c r="M61" i="4"/>
  <c r="S9" i="3"/>
  <c r="D24" i="3"/>
  <c r="S21" i="3"/>
  <c r="I22" i="3"/>
  <c r="Q20" i="3"/>
  <c r="O20" i="3"/>
  <c r="N20" i="3"/>
  <c r="M20" i="3"/>
  <c r="P20" i="3"/>
  <c r="S17" i="3"/>
  <c r="S14" i="3"/>
  <c r="I61" i="4" l="1"/>
  <c r="S23" i="3"/>
  <c r="I24" i="3"/>
  <c r="S24" i="3" s="1"/>
  <c r="M22" i="3"/>
  <c r="Q22" i="3"/>
  <c r="R22" i="3"/>
  <c r="O22" i="3"/>
  <c r="P22" i="3"/>
  <c r="N22" i="3"/>
  <c r="S22" i="3" s="1"/>
  <c r="S20" i="3"/>
  <c r="I26" i="3"/>
  <c r="S61" i="4" l="1"/>
  <c r="I64" i="4"/>
  <c r="I27" i="3"/>
  <c r="I22" i="5"/>
</calcChain>
</file>

<file path=xl/sharedStrings.xml><?xml version="1.0" encoding="utf-8"?>
<sst xmlns="http://schemas.openxmlformats.org/spreadsheetml/2006/main" count="307" uniqueCount="56">
  <si>
    <t>PERIODE</t>
  </si>
  <si>
    <t>MONTANT</t>
  </si>
  <si>
    <t>JOURS PERIODE</t>
  </si>
  <si>
    <t>JOURS CONTRAT</t>
  </si>
  <si>
    <t>TAUX EURIBOR</t>
  </si>
  <si>
    <t>TAUX CONTRAT</t>
  </si>
  <si>
    <t>AGIOS</t>
  </si>
  <si>
    <t>COMMISSIONS</t>
  </si>
  <si>
    <t>AUTRES</t>
  </si>
  <si>
    <t>Commission d'engagement</t>
  </si>
  <si>
    <t>TOTAUX</t>
  </si>
  <si>
    <t>Avis de facturation</t>
  </si>
  <si>
    <t>DOSSIER 20100231</t>
  </si>
  <si>
    <t>Le chevaliver</t>
  </si>
  <si>
    <t>Tohu Bohu</t>
  </si>
  <si>
    <t>Ile paradis</t>
  </si>
  <si>
    <t>Bonhomme</t>
  </si>
  <si>
    <t>ZAD</t>
  </si>
  <si>
    <t>Amour ouf</t>
  </si>
  <si>
    <t>031</t>
  </si>
  <si>
    <t>045</t>
  </si>
  <si>
    <t>050</t>
  </si>
  <si>
    <t>057</t>
  </si>
  <si>
    <t>966</t>
  </si>
  <si>
    <t>Contrôle</t>
  </si>
  <si>
    <t>181159</t>
  </si>
  <si>
    <t>Avis de déblocage - ZAD</t>
  </si>
  <si>
    <t>Frais RCA - Sublime</t>
  </si>
  <si>
    <t>Frais RCA - Le chevalier</t>
  </si>
  <si>
    <t>Remboursement Amour ouf</t>
  </si>
  <si>
    <t>Exercice 2017</t>
  </si>
  <si>
    <t>Exercice 2018</t>
  </si>
  <si>
    <t>Exercice 2019</t>
  </si>
  <si>
    <t>Exercice 2015</t>
  </si>
  <si>
    <t>Exercice 2016</t>
  </si>
  <si>
    <t>Exercice 2020</t>
  </si>
  <si>
    <t>AU 30/06/2021</t>
  </si>
  <si>
    <t>Débit</t>
  </si>
  <si>
    <t>Crédit</t>
  </si>
  <si>
    <t>101</t>
  </si>
  <si>
    <t>103</t>
  </si>
  <si>
    <t>104</t>
  </si>
  <si>
    <t>107</t>
  </si>
  <si>
    <t>181 / 907</t>
  </si>
  <si>
    <t>Remboursement</t>
  </si>
  <si>
    <t>EXERCICE 2021</t>
  </si>
  <si>
    <t>EXERCICE 2022</t>
  </si>
  <si>
    <t>Frais RCA</t>
  </si>
  <si>
    <t>A partir de 2022 les frais financiers sont comptabilisés dans le siège</t>
  </si>
  <si>
    <t>Frais de réaménagement</t>
  </si>
  <si>
    <t>AU 31/03/2022</t>
  </si>
  <si>
    <t>AU 30/06/202</t>
  </si>
  <si>
    <t>Frais RCA 2022</t>
  </si>
  <si>
    <t>Frais de réaménagement 2022</t>
  </si>
  <si>
    <t>EXERCICE 2023</t>
  </si>
  <si>
    <t>Encaissement Chifoumi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</si>
</sst>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\(#,##0\)"/>
    <numFmt numFmtId="165" formatCode="#,##0.00;\(#,##0.00\)"/>
    <numFmt numFmtId="166" formatCode="0.000"/>
    <numFmt numFmtId="167" formatCode="0.0000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13" xfId="0" applyBorder="1" applyAlignment="1">
      <alignment vertical="center"/>
    </xf>
    <xf numFmtId="0" fontId="0" fillId="0" borderId="9" xfId="0" applyBorder="1" applyAlignment="1">
      <alignment vertical="center"/>
    </xf>
    <xf numFmtId="2" fontId="0" fillId="0" borderId="8" xfId="0" applyNumberFormat="1" applyBorder="1" applyAlignment="1">
      <alignment horizontal="center" vertical="center"/>
    </xf>
    <xf numFmtId="165" fontId="0" fillId="0" borderId="13" xfId="0" applyNumberFormat="1" applyBorder="1" applyAlignment="1">
      <alignment vertical="center"/>
    </xf>
    <xf numFmtId="165" fontId="0" fillId="0" borderId="28" xfId="0" applyNumberForma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165" fontId="0" fillId="0" borderId="11" xfId="0" applyNumberFormat="1" applyBorder="1" applyAlignment="1">
      <alignment vertical="center"/>
    </xf>
    <xf numFmtId="165" fontId="0" fillId="0" borderId="14" xfId="0" applyNumberFormat="1" applyBorder="1" applyAlignment="1">
      <alignment vertical="center"/>
    </xf>
    <xf numFmtId="165" fontId="0" fillId="0" borderId="15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165" fontId="0" fillId="0" borderId="20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165" fontId="0" fillId="0" borderId="19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165" fontId="5" fillId="0" borderId="25" xfId="0" applyNumberFormat="1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165" fontId="5" fillId="0" borderId="24" xfId="0" applyNumberFormat="1" applyFont="1" applyBorder="1" applyAlignment="1">
      <alignment vertical="center"/>
    </xf>
    <xf numFmtId="165" fontId="5" fillId="0" borderId="26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165" fontId="5" fillId="0" borderId="29" xfId="0" applyNumberFormat="1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165" fontId="5" fillId="0" borderId="31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4" fontId="1" fillId="0" borderId="11" xfId="0" applyNumberFormat="1" applyFont="1" applyBorder="1" applyAlignment="1">
      <alignment vertical="center"/>
    </xf>
    <xf numFmtId="14" fontId="1" fillId="0" borderId="12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" fontId="0" fillId="0" borderId="13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167" fontId="1" fillId="0" borderId="13" xfId="0" applyNumberFormat="1" applyFont="1" applyBorder="1" applyAlignment="1">
      <alignment vertical="center"/>
    </xf>
    <xf numFmtId="167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4" fontId="0" fillId="0" borderId="12" xfId="0" applyNumberFormat="1" applyBorder="1" applyAlignment="1">
      <alignment vertical="center"/>
    </xf>
    <xf numFmtId="166" fontId="0" fillId="0" borderId="0" xfId="0" applyNumberFormat="1" applyAlignment="1">
      <alignment vertical="center"/>
    </xf>
    <xf numFmtId="14" fontId="0" fillId="0" borderId="11" xfId="0" applyNumberForma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4" fontId="0" fillId="0" borderId="13" xfId="0" applyNumberFormat="1" applyBorder="1" applyAlignment="1">
      <alignment vertical="center"/>
    </xf>
    <xf numFmtId="4" fontId="0" fillId="0" borderId="32" xfId="0" applyNumberFormat="1" applyBorder="1" applyAlignment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0" fillId="0" borderId="11" xfId="0" applyNumberFormat="1" applyBorder="1" applyAlignment="1">
      <alignment vertical="center"/>
    </xf>
    <xf numFmtId="4" fontId="0" fillId="0" borderId="37" xfId="0" applyNumberFormat="1" applyBorder="1" applyAlignment="1">
      <alignment vertical="center"/>
    </xf>
    <xf numFmtId="49" fontId="1" fillId="2" borderId="8" xfId="0" applyNumberFormat="1" applyFont="1" applyFill="1" applyBorder="1" applyAlignment="1">
      <alignment horizontal="center" vertical="center"/>
    </xf>
    <xf numFmtId="4" fontId="0" fillId="2" borderId="13" xfId="0" applyNumberFormat="1" applyFill="1" applyBorder="1" applyAlignment="1">
      <alignment vertical="center"/>
    </xf>
    <xf numFmtId="4" fontId="0" fillId="2" borderId="32" xfId="0" applyNumberFormat="1" applyFill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4" fontId="1" fillId="2" borderId="9" xfId="0" applyNumberFormat="1" applyFont="1" applyFill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2" borderId="13" xfId="0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horizontal="right" vertical="center"/>
    </xf>
    <xf numFmtId="165" fontId="0" fillId="3" borderId="13" xfId="0" applyNumberFormat="1" applyFill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7" xfId="0" applyBorder="1" applyAlignment="1">
      <alignment vertical="center"/>
    </xf>
    <xf numFmtId="165" fontId="0" fillId="0" borderId="40" xfId="0" applyNumberFormat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40" xfId="0" applyBorder="1" applyAlignment="1">
      <alignment vertical="center"/>
    </xf>
    <xf numFmtId="2" fontId="0" fillId="0" borderId="40" xfId="0" applyNumberFormat="1" applyBorder="1" applyAlignment="1">
      <alignment horizontal="center" vertical="center"/>
    </xf>
    <xf numFmtId="165" fontId="0" fillId="0" borderId="37" xfId="0" applyNumberFormat="1" applyBorder="1" applyAlignment="1">
      <alignment vertical="center"/>
    </xf>
    <xf numFmtId="165" fontId="0" fillId="0" borderId="32" xfId="0" applyNumberFormat="1" applyBorder="1" applyAlignment="1">
      <alignment vertical="center"/>
    </xf>
    <xf numFmtId="165" fontId="0" fillId="0" borderId="41" xfId="0" applyNumberFormat="1" applyBorder="1" applyAlignment="1">
      <alignment vertical="center"/>
    </xf>
    <xf numFmtId="4" fontId="1" fillId="0" borderId="32" xfId="0" applyNumberFormat="1" applyFont="1" applyBorder="1" applyAlignment="1">
      <alignment horizontal="right" vertical="center"/>
    </xf>
    <xf numFmtId="4" fontId="1" fillId="0" borderId="37" xfId="0" applyNumberFormat="1" applyFont="1" applyBorder="1" applyAlignment="1">
      <alignment horizontal="right" vertical="center"/>
    </xf>
    <xf numFmtId="4" fontId="1" fillId="2" borderId="32" xfId="0" applyNumberFormat="1" applyFont="1" applyFill="1" applyBorder="1" applyAlignment="1">
      <alignment horizontal="right" vertical="center"/>
    </xf>
    <xf numFmtId="4" fontId="0" fillId="0" borderId="36" xfId="0" applyNumberFormat="1" applyBorder="1" applyAlignment="1">
      <alignment horizontal="right" vertic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1" fillId="0" borderId="31" xfId="0" applyFont="1" applyBorder="1" applyAlignment="1">
      <alignment vertical="center"/>
    </xf>
    <xf numFmtId="0" fontId="1" fillId="4" borderId="29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0" borderId="42" xfId="0" applyFont="1" applyBorder="1" applyAlignment="1">
      <alignment vertical="center"/>
    </xf>
    <xf numFmtId="0" fontId="1" fillId="4" borderId="20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0" borderId="43" xfId="0" applyFont="1" applyBorder="1" applyAlignment="1">
      <alignment vertical="center"/>
    </xf>
    <xf numFmtId="165" fontId="5" fillId="4" borderId="24" xfId="0" applyNumberFormat="1" applyFont="1" applyFill="1" applyBorder="1" applyAlignment="1">
      <alignment vertical="center"/>
    </xf>
    <xf numFmtId="165" fontId="5" fillId="5" borderId="24" xfId="0" applyNumberFormat="1" applyFont="1" applyFill="1" applyBorder="1" applyAlignment="1">
      <alignment vertical="center"/>
    </xf>
    <xf numFmtId="4" fontId="0" fillId="3" borderId="13" xfId="0" applyNumberFormat="1" applyFill="1" applyBorder="1" applyAlignment="1">
      <alignment vertical="center"/>
    </xf>
    <xf numFmtId="4" fontId="0" fillId="3" borderId="32" xfId="0" applyNumberFormat="1" applyFill="1" applyBorder="1" applyAlignment="1">
      <alignment vertical="center"/>
    </xf>
    <xf numFmtId="4" fontId="0" fillId="3" borderId="11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4" fontId="1" fillId="0" borderId="12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vertical="center"/>
    </xf>
    <xf numFmtId="4" fontId="0" fillId="3" borderId="12" xfId="0" applyNumberFormat="1" applyFill="1" applyBorder="1" applyAlignment="1">
      <alignment vertical="center"/>
    </xf>
    <xf numFmtId="0" fontId="1" fillId="5" borderId="30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5" fillId="0" borderId="27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4" fontId="8" fillId="0" borderId="27" xfId="0" applyNumberFormat="1" applyFont="1" applyBorder="1" applyAlignment="1">
      <alignment horizontal="center" vertical="center"/>
    </xf>
    <xf numFmtId="4" fontId="8" fillId="0" borderId="25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14" fontId="1" fillId="0" borderId="11" xfId="0" applyNumberFormat="1" applyFont="1" applyFill="1" applyBorder="1" applyAlignment="1">
      <alignment vertical="center"/>
    </xf>
    <xf numFmtId="14" fontId="0" fillId="0" borderId="12" xfId="0" applyNumberFormat="1" applyFill="1" applyBorder="1" applyAlignment="1">
      <alignment vertical="center"/>
    </xf>
    <xf numFmtId="165" fontId="0" fillId="0" borderId="0" xfId="0" applyNumberFormat="1" applyFill="1" applyAlignment="1">
      <alignment vertical="center"/>
    </xf>
    <xf numFmtId="0" fontId="0" fillId="0" borderId="13" xfId="0" applyFill="1" applyBorder="1" applyAlignment="1">
      <alignment vertical="center"/>
    </xf>
    <xf numFmtId="1" fontId="0" fillId="0" borderId="0" xfId="0" applyNumberFormat="1" applyFill="1" applyAlignment="1">
      <alignment vertical="center"/>
    </xf>
    <xf numFmtId="166" fontId="0" fillId="0" borderId="0" xfId="0" applyNumberFormat="1" applyFill="1" applyAlignment="1">
      <alignment vertical="center"/>
    </xf>
    <xf numFmtId="165" fontId="0" fillId="0" borderId="11" xfId="0" applyNumberFormat="1" applyFill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165" fontId="0" fillId="0" borderId="14" xfId="0" applyNumberForma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14" fontId="1" fillId="0" borderId="12" xfId="0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vertical="center"/>
    </xf>
    <xf numFmtId="1" fontId="0" fillId="0" borderId="13" xfId="0" applyNumberFormat="1" applyFill="1" applyBorder="1" applyAlignment="1">
      <alignment vertical="center"/>
    </xf>
    <xf numFmtId="167" fontId="1" fillId="0" borderId="13" xfId="0" applyNumberFormat="1" applyFont="1" applyFill="1" applyBorder="1" applyAlignment="1">
      <alignment vertical="center"/>
    </xf>
    <xf numFmtId="167" fontId="0" fillId="0" borderId="0" xfId="0" applyNumberFormat="1" applyFill="1" applyAlignment="1">
      <alignment vertical="center"/>
    </xf>
    <xf numFmtId="165" fontId="0" fillId="0" borderId="15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B5AD4-AA26-41A6-A207-F7ECB88DFEE8}">
  <sheetPr>
    <pageSetUpPr fitToPage="1"/>
  </sheetPr>
  <dimension ref="A1:S66"/>
  <sheetViews>
    <sheetView topLeftCell="A33" zoomScaleNormal="100" workbookViewId="0">
      <selection activeCell="I63" sqref="I63"/>
    </sheetView>
  </sheetViews>
  <sheetFormatPr baseColWidth="10" defaultColWidth="11.5546875" defaultRowHeight="12" customHeight="1" x14ac:dyDescent="0.25"/>
  <cols>
    <col min="1" max="1" width="26.5546875" style="1" bestFit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10.109375" style="1" bestFit="1" customWidth="1"/>
    <col min="10" max="11" width="9.6640625" style="3" customWidth="1"/>
    <col min="12" max="12" width="1.6640625" style="1" customWidth="1"/>
    <col min="13" max="13" width="10.109375" style="1" bestFit="1" customWidth="1"/>
    <col min="14" max="17" width="9.6640625" style="1" customWidth="1"/>
    <col min="18" max="19" width="10.6640625" style="1" customWidth="1"/>
    <col min="20" max="16384" width="11.5546875" style="1"/>
  </cols>
  <sheetData>
    <row r="1" spans="1:19" ht="12" customHeight="1" thickBot="1" x14ac:dyDescent="0.3"/>
    <row r="2" spans="1:19" s="60" customFormat="1" ht="24" customHeight="1" thickBot="1" x14ac:dyDescent="0.3">
      <c r="A2" s="4"/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  <c r="M2" s="76" t="s">
        <v>13</v>
      </c>
      <c r="N2" s="76" t="s">
        <v>14</v>
      </c>
      <c r="O2" s="76" t="s">
        <v>15</v>
      </c>
      <c r="P2" s="77" t="s">
        <v>16</v>
      </c>
      <c r="Q2" s="78" t="s">
        <v>17</v>
      </c>
      <c r="R2" s="76" t="s">
        <v>18</v>
      </c>
      <c r="S2" s="79" t="s">
        <v>24</v>
      </c>
    </row>
    <row r="3" spans="1:19" ht="12" customHeight="1" x14ac:dyDescent="0.25">
      <c r="A3" s="11"/>
      <c r="B3" s="12"/>
      <c r="C3" s="13"/>
      <c r="D3" s="14"/>
      <c r="E3" s="15"/>
      <c r="G3" s="16"/>
      <c r="I3" s="18"/>
      <c r="J3" s="18"/>
      <c r="K3" s="19"/>
      <c r="M3" s="64" t="s">
        <v>19</v>
      </c>
      <c r="N3" s="64" t="s">
        <v>20</v>
      </c>
      <c r="O3" s="64" t="s">
        <v>21</v>
      </c>
      <c r="P3" s="65" t="s">
        <v>22</v>
      </c>
      <c r="Q3" s="73" t="s">
        <v>25</v>
      </c>
      <c r="R3" s="64" t="s">
        <v>23</v>
      </c>
      <c r="S3" s="66"/>
    </row>
    <row r="4" spans="1:19" ht="12" customHeight="1" x14ac:dyDescent="0.25">
      <c r="A4" s="20" t="s">
        <v>12</v>
      </c>
      <c r="B4" s="21"/>
      <c r="C4" s="22"/>
      <c r="D4" s="14"/>
      <c r="E4" s="15"/>
      <c r="G4" s="15"/>
      <c r="H4" s="80"/>
      <c r="I4" s="23"/>
      <c r="J4" s="18"/>
      <c r="K4" s="24"/>
      <c r="M4" s="82"/>
      <c r="N4" s="84"/>
      <c r="O4" s="122"/>
      <c r="P4" s="82"/>
      <c r="Q4" s="83"/>
      <c r="R4" s="84"/>
      <c r="S4" s="85"/>
    </row>
    <row r="5" spans="1:19" ht="12" customHeight="1" x14ac:dyDescent="0.25">
      <c r="A5" s="11"/>
      <c r="B5" s="21"/>
      <c r="C5" s="22"/>
      <c r="D5" s="14"/>
      <c r="E5" s="15"/>
      <c r="G5" s="15"/>
      <c r="H5" s="80"/>
      <c r="I5" s="23"/>
      <c r="J5" s="18"/>
      <c r="K5" s="24"/>
      <c r="M5" s="81"/>
      <c r="N5" s="81"/>
      <c r="O5" s="81"/>
      <c r="P5" s="87"/>
      <c r="Q5" s="88"/>
      <c r="R5" s="81"/>
      <c r="S5" s="89"/>
    </row>
    <row r="6" spans="1:19" ht="12" customHeight="1" x14ac:dyDescent="0.25">
      <c r="A6" s="48" t="s">
        <v>33</v>
      </c>
      <c r="B6" s="21"/>
      <c r="C6" s="22"/>
      <c r="D6" s="14"/>
      <c r="E6" s="15"/>
      <c r="G6" s="15"/>
      <c r="H6" s="80"/>
      <c r="I6" s="23">
        <f>SUM(M6:R6)</f>
        <v>3750.36</v>
      </c>
      <c r="J6" s="90"/>
      <c r="K6" s="24"/>
      <c r="M6" s="81">
        <v>2073.3200000000002</v>
      </c>
      <c r="N6" s="86">
        <v>1677.04</v>
      </c>
      <c r="O6" s="81"/>
      <c r="P6" s="87"/>
      <c r="Q6" s="88"/>
      <c r="R6" s="81"/>
      <c r="S6" s="89"/>
    </row>
    <row r="7" spans="1:19" ht="12" customHeight="1" x14ac:dyDescent="0.25">
      <c r="A7" s="48" t="s">
        <v>34</v>
      </c>
      <c r="B7" s="21"/>
      <c r="C7" s="22"/>
      <c r="D7" s="14"/>
      <c r="E7" s="15"/>
      <c r="G7" s="15"/>
      <c r="H7" s="80"/>
      <c r="I7" s="23">
        <f t="shared" ref="I7:I11" si="0">SUM(M7:R7)</f>
        <v>3311.9799999999996</v>
      </c>
      <c r="J7" s="90"/>
      <c r="K7" s="24"/>
      <c r="M7" s="81">
        <v>2019.86</v>
      </c>
      <c r="N7" s="81">
        <v>1292.1199999999999</v>
      </c>
      <c r="O7" s="81"/>
      <c r="P7" s="87"/>
      <c r="Q7" s="88"/>
      <c r="R7" s="81"/>
      <c r="S7" s="89"/>
    </row>
    <row r="8" spans="1:19" ht="12" customHeight="1" x14ac:dyDescent="0.25">
      <c r="A8" s="48" t="s">
        <v>30</v>
      </c>
      <c r="B8" s="21"/>
      <c r="C8" s="22"/>
      <c r="D8" s="14"/>
      <c r="E8" s="15"/>
      <c r="G8" s="15"/>
      <c r="H8" s="80"/>
      <c r="I8" s="23">
        <f t="shared" si="0"/>
        <v>5590.0300000000007</v>
      </c>
      <c r="J8" s="90"/>
      <c r="K8" s="24"/>
      <c r="M8" s="81">
        <v>3429.48</v>
      </c>
      <c r="N8" s="81">
        <v>2160.5500000000002</v>
      </c>
      <c r="O8" s="81"/>
      <c r="P8" s="87"/>
      <c r="Q8" s="88"/>
      <c r="R8" s="81"/>
      <c r="S8" s="89"/>
    </row>
    <row r="9" spans="1:19" ht="12" customHeight="1" x14ac:dyDescent="0.25">
      <c r="A9" s="48" t="s">
        <v>31</v>
      </c>
      <c r="B9" s="21"/>
      <c r="C9" s="22"/>
      <c r="D9" s="14"/>
      <c r="E9" s="15"/>
      <c r="G9" s="15"/>
      <c r="H9" s="80"/>
      <c r="I9" s="23">
        <f t="shared" si="0"/>
        <v>5289.56</v>
      </c>
      <c r="J9" s="90"/>
      <c r="K9" s="24"/>
      <c r="M9" s="81">
        <v>2105.13</v>
      </c>
      <c r="N9" s="81">
        <v>1326.26</v>
      </c>
      <c r="O9" s="81">
        <v>714.53</v>
      </c>
      <c r="P9" s="87">
        <v>1071.6300000000001</v>
      </c>
      <c r="Q9" s="88">
        <v>72.010000000000005</v>
      </c>
      <c r="R9" s="81"/>
      <c r="S9" s="89"/>
    </row>
    <row r="10" spans="1:19" ht="12" customHeight="1" x14ac:dyDescent="0.25">
      <c r="A10" s="48" t="s">
        <v>32</v>
      </c>
      <c r="B10" s="21"/>
      <c r="C10" s="22"/>
      <c r="D10" s="14"/>
      <c r="E10" s="15"/>
      <c r="G10" s="15"/>
      <c r="H10" s="80"/>
      <c r="I10" s="23">
        <f t="shared" si="0"/>
        <v>6220.0000000000009</v>
      </c>
      <c r="J10" s="90"/>
      <c r="K10" s="24"/>
      <c r="M10" s="81">
        <v>1641.43</v>
      </c>
      <c r="N10" s="81">
        <v>1034.32</v>
      </c>
      <c r="O10" s="81">
        <v>984.61</v>
      </c>
      <c r="P10" s="87">
        <v>1476.92</v>
      </c>
      <c r="Q10" s="88">
        <f>81.55+1001.17</f>
        <v>1082.72</v>
      </c>
      <c r="R10" s="81"/>
      <c r="S10" s="89"/>
    </row>
    <row r="11" spans="1:19" ht="12" customHeight="1" x14ac:dyDescent="0.25">
      <c r="A11" s="48" t="s">
        <v>35</v>
      </c>
      <c r="B11" s="21"/>
      <c r="C11" s="22"/>
      <c r="D11" s="14"/>
      <c r="E11" s="15"/>
      <c r="G11" s="15"/>
      <c r="H11" s="80"/>
      <c r="I11" s="23">
        <f t="shared" si="0"/>
        <v>10794.5</v>
      </c>
      <c r="J11" s="90"/>
      <c r="K11" s="24">
        <v>228.27</v>
      </c>
      <c r="M11" s="81">
        <v>2650.93</v>
      </c>
      <c r="N11" s="81">
        <v>609.91999999999996</v>
      </c>
      <c r="O11" s="81">
        <v>1590.35</v>
      </c>
      <c r="P11" s="87">
        <v>2386.04</v>
      </c>
      <c r="Q11" s="88">
        <f>160.94+258.36+415.92+380.55+401.11</f>
        <v>1616.88</v>
      </c>
      <c r="R11" s="81">
        <v>1940.38</v>
      </c>
      <c r="S11" s="89"/>
    </row>
    <row r="12" spans="1:19" ht="12" customHeight="1" x14ac:dyDescent="0.25">
      <c r="A12" s="91"/>
      <c r="B12" s="92"/>
      <c r="C12" s="69"/>
      <c r="D12" s="93"/>
      <c r="E12" s="94"/>
      <c r="F12" s="95"/>
      <c r="G12" s="94"/>
      <c r="H12" s="96"/>
      <c r="I12" s="97"/>
      <c r="J12" s="98"/>
      <c r="K12" s="99"/>
      <c r="M12" s="100"/>
      <c r="N12" s="100"/>
      <c r="O12" s="100"/>
      <c r="P12" s="101"/>
      <c r="Q12" s="102"/>
      <c r="R12" s="100"/>
      <c r="S12" s="103"/>
    </row>
    <row r="13" spans="1:19" ht="12" customHeight="1" x14ac:dyDescent="0.25">
      <c r="A13" s="11"/>
      <c r="B13" s="21"/>
      <c r="C13" s="22"/>
      <c r="D13" s="14"/>
      <c r="E13" s="15"/>
      <c r="G13" s="15"/>
      <c r="H13" s="17">
        <v>2</v>
      </c>
      <c r="I13" s="23"/>
      <c r="J13" s="18"/>
      <c r="K13" s="24"/>
      <c r="M13" s="81"/>
      <c r="N13" s="81"/>
      <c r="O13" s="81"/>
      <c r="P13" s="87"/>
      <c r="Q13" s="88"/>
      <c r="R13" s="81"/>
      <c r="S13" s="89"/>
    </row>
    <row r="14" spans="1:19" ht="12" customHeight="1" x14ac:dyDescent="0.25">
      <c r="A14" s="20"/>
      <c r="B14" s="21"/>
      <c r="C14" s="22"/>
      <c r="D14" s="14"/>
      <c r="E14" s="15"/>
      <c r="G14" s="15"/>
      <c r="I14" s="23"/>
      <c r="J14" s="18"/>
      <c r="K14" s="24"/>
      <c r="M14" s="62">
        <v>50000</v>
      </c>
      <c r="N14" s="62">
        <v>11500</v>
      </c>
      <c r="O14" s="62">
        <v>30000</v>
      </c>
      <c r="P14" s="71">
        <v>45000</v>
      </c>
      <c r="Q14" s="74">
        <f>30500+50000</f>
        <v>80500</v>
      </c>
      <c r="R14" s="62">
        <v>135000</v>
      </c>
      <c r="S14" s="68">
        <f>+D15-SUM(M14:R14)</f>
        <v>-352000</v>
      </c>
    </row>
    <row r="15" spans="1:19" ht="12" customHeight="1" x14ac:dyDescent="0.25">
      <c r="A15" s="11"/>
      <c r="B15" s="21"/>
      <c r="C15" s="22"/>
      <c r="D15" s="14"/>
      <c r="E15" s="15"/>
      <c r="G15" s="15"/>
      <c r="I15" s="23"/>
      <c r="J15" s="18"/>
      <c r="K15" s="24"/>
      <c r="M15" s="62"/>
      <c r="N15" s="62"/>
      <c r="O15" s="62"/>
      <c r="P15" s="71"/>
      <c r="Q15" s="74"/>
      <c r="R15" s="62"/>
      <c r="S15" s="22"/>
    </row>
    <row r="16" spans="1:19" ht="12" customHeight="1" x14ac:dyDescent="0.25">
      <c r="A16" s="48" t="s">
        <v>9</v>
      </c>
      <c r="B16" s="49">
        <v>44197</v>
      </c>
      <c r="C16" s="57">
        <v>44285</v>
      </c>
      <c r="D16" s="14">
        <v>0</v>
      </c>
      <c r="E16" s="15"/>
      <c r="F16" s="53">
        <f>DAYS360(B16,C16)+2</f>
        <v>91</v>
      </c>
      <c r="G16" s="15"/>
      <c r="H16" s="58">
        <v>1</v>
      </c>
      <c r="I16" s="23"/>
      <c r="J16" s="18">
        <f t="shared" ref="J16:J21" si="1">+D16/360*F16*H16/100</f>
        <v>0</v>
      </c>
      <c r="K16" s="24"/>
      <c r="L16" s="3"/>
      <c r="M16" s="62"/>
      <c r="N16" s="62"/>
      <c r="O16" s="62"/>
      <c r="P16" s="71"/>
      <c r="Q16" s="74"/>
      <c r="R16" s="62"/>
      <c r="S16" s="22"/>
    </row>
    <row r="17" spans="1:19" ht="12" customHeight="1" x14ac:dyDescent="0.25">
      <c r="A17" s="48" t="s">
        <v>9</v>
      </c>
      <c r="B17" s="49">
        <v>44286</v>
      </c>
      <c r="C17" s="57">
        <v>44439</v>
      </c>
      <c r="D17" s="14">
        <v>352000</v>
      </c>
      <c r="E17" s="15"/>
      <c r="F17" s="53">
        <f>DAYS360(B17,C17)+3</f>
        <v>153</v>
      </c>
      <c r="G17" s="15"/>
      <c r="H17" s="58">
        <v>1</v>
      </c>
      <c r="I17" s="23"/>
      <c r="J17" s="18">
        <f t="shared" si="1"/>
        <v>1496</v>
      </c>
      <c r="K17" s="24"/>
      <c r="L17" s="3"/>
      <c r="M17" s="62">
        <f>$J$17/$D$17*M14</f>
        <v>212.50000000000003</v>
      </c>
      <c r="N17" s="62">
        <f t="shared" ref="N17:Q17" si="2">$J$17/$D$17*N14</f>
        <v>48.875</v>
      </c>
      <c r="O17" s="62">
        <f t="shared" si="2"/>
        <v>127.50000000000001</v>
      </c>
      <c r="P17" s="71">
        <f t="shared" si="2"/>
        <v>191.25</v>
      </c>
      <c r="Q17" s="74">
        <f t="shared" si="2"/>
        <v>342.125</v>
      </c>
      <c r="R17" s="62">
        <f>$J$17/$D$17*R14-0.01</f>
        <v>573.74</v>
      </c>
      <c r="S17" s="68">
        <f>+J17-SUM(M17:R17)-0.01</f>
        <v>-9.0951551845463996E-15</v>
      </c>
    </row>
    <row r="18" spans="1:19" ht="12" customHeight="1" x14ac:dyDescent="0.25">
      <c r="A18" s="48" t="s">
        <v>9</v>
      </c>
      <c r="B18" s="49">
        <v>44439</v>
      </c>
      <c r="C18" s="57">
        <v>44530</v>
      </c>
      <c r="D18" s="14">
        <f>+D17+D36</f>
        <v>217000</v>
      </c>
      <c r="E18" s="15"/>
      <c r="F18" s="53">
        <f>DAYS360(B18,C18)+1</f>
        <v>91</v>
      </c>
      <c r="G18" s="15"/>
      <c r="H18" s="58">
        <v>1</v>
      </c>
      <c r="I18" s="23"/>
      <c r="J18" s="18">
        <f t="shared" si="1"/>
        <v>548.52777777777783</v>
      </c>
      <c r="K18" s="24"/>
      <c r="L18" s="3"/>
      <c r="M18" s="62">
        <f>$J$18/$D$18*M14</f>
        <v>126.3888888888889</v>
      </c>
      <c r="N18" s="62">
        <f t="shared" ref="N18:P18" si="3">$J$18/$D$18*N14</f>
        <v>29.069444444444446</v>
      </c>
      <c r="O18" s="62">
        <f t="shared" si="3"/>
        <v>75.833333333333343</v>
      </c>
      <c r="P18" s="62">
        <f t="shared" si="3"/>
        <v>113.75000000000001</v>
      </c>
      <c r="Q18" s="74">
        <f>$J$18/$D$18*Q14</f>
        <v>203.48611111111114</v>
      </c>
      <c r="R18" s="116"/>
      <c r="S18" s="68">
        <f>+J18-SUM(M18:R18)</f>
        <v>0</v>
      </c>
    </row>
    <row r="19" spans="1:19" ht="12" customHeight="1" x14ac:dyDescent="0.25">
      <c r="A19" s="48" t="s">
        <v>9</v>
      </c>
      <c r="B19" s="49">
        <v>44530</v>
      </c>
      <c r="C19" s="57">
        <v>44620</v>
      </c>
      <c r="D19" s="14">
        <f>+D18+D37</f>
        <v>217000</v>
      </c>
      <c r="E19" s="15"/>
      <c r="F19" s="53">
        <f>DAYS360(B19,C19)+2</f>
        <v>90</v>
      </c>
      <c r="G19" s="15"/>
      <c r="H19" s="58">
        <v>1</v>
      </c>
      <c r="I19" s="23"/>
      <c r="J19" s="18">
        <f t="shared" si="1"/>
        <v>542.50000000000011</v>
      </c>
      <c r="K19" s="24"/>
      <c r="L19" s="3"/>
      <c r="M19" s="62">
        <f>$J19/$D19*M$14</f>
        <v>125.00000000000003</v>
      </c>
      <c r="N19" s="62">
        <f>$J19/$D19*N$14</f>
        <v>28.750000000000007</v>
      </c>
      <c r="O19" s="62">
        <f>$J19/$D19*O$14</f>
        <v>75.000000000000014</v>
      </c>
      <c r="P19" s="62">
        <f>$J19/$D19*P$14</f>
        <v>112.50000000000003</v>
      </c>
      <c r="Q19" s="74">
        <f>$J19/$D19*Q$14</f>
        <v>201.25000000000003</v>
      </c>
      <c r="R19" s="116"/>
      <c r="S19" s="68">
        <f>+J19-SUM(M19:R19)</f>
        <v>0</v>
      </c>
    </row>
    <row r="20" spans="1:19" ht="12" customHeight="1" x14ac:dyDescent="0.25">
      <c r="A20" s="48" t="s">
        <v>9</v>
      </c>
      <c r="B20" s="49">
        <v>44620</v>
      </c>
      <c r="C20" s="57">
        <v>44711</v>
      </c>
      <c r="D20" s="14">
        <f>+D19+D43</f>
        <v>167000</v>
      </c>
      <c r="E20" s="15"/>
      <c r="F20" s="53">
        <f>DAYS360(B20,C20)+1</f>
        <v>91</v>
      </c>
      <c r="G20" s="15"/>
      <c r="H20" s="58">
        <v>1</v>
      </c>
      <c r="I20" s="23"/>
      <c r="J20" s="18">
        <f t="shared" si="1"/>
        <v>422.13888888888891</v>
      </c>
      <c r="K20" s="24"/>
      <c r="L20" s="3"/>
      <c r="M20" s="116"/>
      <c r="N20" s="116"/>
      <c r="O20" s="116"/>
      <c r="P20" s="116"/>
      <c r="Q20" s="116"/>
      <c r="R20" s="116"/>
      <c r="S20" s="124"/>
    </row>
    <row r="21" spans="1:19" ht="12" customHeight="1" x14ac:dyDescent="0.25">
      <c r="A21" s="48" t="s">
        <v>9</v>
      </c>
      <c r="B21" s="49">
        <v>44711</v>
      </c>
      <c r="C21" s="57">
        <v>44804</v>
      </c>
      <c r="D21" s="14">
        <v>117000</v>
      </c>
      <c r="E21" s="15"/>
      <c r="F21" s="53">
        <f>DAYS360(B21,C21)+3</f>
        <v>93</v>
      </c>
      <c r="G21" s="15"/>
      <c r="H21" s="58">
        <v>1</v>
      </c>
      <c r="I21" s="23"/>
      <c r="J21" s="18">
        <f t="shared" si="1"/>
        <v>302.25</v>
      </c>
      <c r="K21" s="24"/>
      <c r="L21" s="3"/>
      <c r="M21" s="116"/>
      <c r="N21" s="116"/>
      <c r="O21" s="116"/>
      <c r="P21" s="116"/>
      <c r="Q21" s="116"/>
      <c r="R21" s="116"/>
      <c r="S21" s="124"/>
    </row>
    <row r="22" spans="1:19" ht="12" customHeight="1" x14ac:dyDescent="0.25">
      <c r="A22" s="48" t="s">
        <v>9</v>
      </c>
      <c r="B22" s="49">
        <v>44804</v>
      </c>
      <c r="C22" s="57">
        <v>44895</v>
      </c>
      <c r="D22" s="14">
        <v>117000</v>
      </c>
      <c r="E22" s="15"/>
      <c r="F22" s="53">
        <f>DAYS360(B22,C22)+1</f>
        <v>91</v>
      </c>
      <c r="G22" s="15"/>
      <c r="H22" s="58">
        <v>1</v>
      </c>
      <c r="I22" s="23"/>
      <c r="J22" s="18">
        <f t="shared" ref="J22" si="4">+D22/360*F22*H22/100</f>
        <v>295.75</v>
      </c>
      <c r="K22" s="24"/>
      <c r="L22" s="3"/>
      <c r="M22" s="116"/>
      <c r="N22" s="116"/>
      <c r="O22" s="116"/>
      <c r="P22" s="116"/>
      <c r="Q22" s="116"/>
      <c r="R22" s="116"/>
      <c r="S22" s="124"/>
    </row>
    <row r="23" spans="1:19" ht="12" customHeight="1" x14ac:dyDescent="0.25">
      <c r="A23" s="48" t="s">
        <v>9</v>
      </c>
      <c r="B23" s="49">
        <v>44895</v>
      </c>
      <c r="C23" s="57">
        <v>45077</v>
      </c>
      <c r="D23" s="14">
        <v>117000</v>
      </c>
      <c r="E23" s="15"/>
      <c r="F23" s="53">
        <f>DAYS360(B23,C23)+2</f>
        <v>182</v>
      </c>
      <c r="G23" s="15"/>
      <c r="H23" s="58">
        <v>1</v>
      </c>
      <c r="I23" s="23"/>
      <c r="J23" s="18">
        <f t="shared" ref="J23" si="5">+D23/360*F23*H23/100</f>
        <v>591.5</v>
      </c>
      <c r="K23" s="24"/>
      <c r="L23" s="3"/>
      <c r="M23" s="116"/>
      <c r="N23" s="116"/>
      <c r="O23" s="116"/>
      <c r="P23" s="116"/>
      <c r="Q23" s="116"/>
      <c r="R23" s="116"/>
      <c r="S23" s="124"/>
    </row>
    <row r="24" spans="1:19" ht="12" customHeight="1" x14ac:dyDescent="0.25">
      <c r="A24" s="48" t="s">
        <v>9</v>
      </c>
      <c r="B24" s="49">
        <v>45077</v>
      </c>
      <c r="C24" s="57">
        <v>45107</v>
      </c>
      <c r="D24" s="14">
        <v>117000</v>
      </c>
      <c r="E24" s="15"/>
      <c r="F24" s="53">
        <f>DAYS360(B24,C24)</f>
        <v>30</v>
      </c>
      <c r="G24" s="15"/>
      <c r="H24" s="58">
        <v>1</v>
      </c>
      <c r="I24" s="23"/>
      <c r="J24" s="18">
        <f t="shared" ref="J24:J25" si="6">+D24/360*F24*H24/100</f>
        <v>97.5</v>
      </c>
      <c r="K24" s="24"/>
      <c r="L24" s="3"/>
      <c r="M24" s="116"/>
      <c r="N24" s="116"/>
      <c r="O24" s="116"/>
      <c r="P24" s="116"/>
      <c r="Q24" s="116"/>
      <c r="R24" s="116"/>
      <c r="S24" s="124"/>
    </row>
    <row r="25" spans="1:19" s="145" customFormat="1" ht="12" customHeight="1" x14ac:dyDescent="0.25">
      <c r="A25" s="134" t="s">
        <v>9</v>
      </c>
      <c r="B25" s="135">
        <v>45107</v>
      </c>
      <c r="C25" s="136">
        <v>45198</v>
      </c>
      <c r="D25" s="137">
        <v>117000</v>
      </c>
      <c r="E25" s="138"/>
      <c r="F25" s="139">
        <f>DAYS360(B25,C25)+2</f>
        <v>91</v>
      </c>
      <c r="G25" s="138"/>
      <c r="H25" s="140">
        <v>1</v>
      </c>
      <c r="I25" s="141"/>
      <c r="J25" s="142">
        <f t="shared" si="6"/>
        <v>295.75</v>
      </c>
      <c r="K25" s="143"/>
      <c r="L25" s="144"/>
      <c r="M25" s="116"/>
      <c r="N25" s="116"/>
      <c r="O25" s="116"/>
      <c r="P25" s="116"/>
      <c r="Q25" s="116"/>
      <c r="R25" s="116"/>
      <c r="S25" s="124"/>
    </row>
    <row r="26" spans="1:19" ht="12" customHeight="1" x14ac:dyDescent="0.25">
      <c r="A26" s="48"/>
      <c r="B26" s="59"/>
      <c r="C26" s="57"/>
      <c r="D26" s="14"/>
      <c r="E26" s="15"/>
      <c r="F26" s="53"/>
      <c r="G26" s="15"/>
      <c r="H26" s="58"/>
      <c r="I26" s="23"/>
      <c r="J26" s="18"/>
      <c r="K26" s="24"/>
      <c r="L26" s="3"/>
      <c r="M26" s="62"/>
      <c r="N26" s="62"/>
      <c r="O26" s="62"/>
      <c r="P26" s="71"/>
      <c r="Q26" s="74"/>
      <c r="R26" s="62"/>
      <c r="S26" s="22"/>
    </row>
    <row r="27" spans="1:19" ht="12" customHeight="1" x14ac:dyDescent="0.25">
      <c r="A27" s="48" t="s">
        <v>27</v>
      </c>
      <c r="B27" s="59"/>
      <c r="C27" s="57"/>
      <c r="D27" s="14"/>
      <c r="E27" s="15"/>
      <c r="F27" s="53"/>
      <c r="G27" s="15"/>
      <c r="H27" s="58"/>
      <c r="I27" s="18"/>
      <c r="J27" s="18"/>
      <c r="K27" s="24">
        <v>120</v>
      </c>
      <c r="M27" s="62"/>
      <c r="N27" s="62"/>
      <c r="O27" s="62"/>
      <c r="P27" s="71"/>
      <c r="Q27" s="74"/>
      <c r="R27" s="62"/>
      <c r="S27" s="22"/>
    </row>
    <row r="28" spans="1:19" ht="12" customHeight="1" x14ac:dyDescent="0.25">
      <c r="A28" s="48" t="s">
        <v>28</v>
      </c>
      <c r="B28" s="59"/>
      <c r="C28" s="57"/>
      <c r="D28" s="14"/>
      <c r="E28" s="15"/>
      <c r="F28" s="53"/>
      <c r="G28" s="15"/>
      <c r="H28" s="58"/>
      <c r="I28" s="18"/>
      <c r="J28" s="18"/>
      <c r="K28" s="24">
        <v>500</v>
      </c>
      <c r="M28" s="62"/>
      <c r="N28" s="62"/>
      <c r="O28" s="62"/>
      <c r="P28" s="71"/>
      <c r="Q28" s="74"/>
      <c r="R28" s="62"/>
      <c r="S28" s="22"/>
    </row>
    <row r="29" spans="1:19" ht="12" customHeight="1" x14ac:dyDescent="0.25">
      <c r="A29" s="48" t="s">
        <v>52</v>
      </c>
      <c r="B29" s="59"/>
      <c r="C29" s="57"/>
      <c r="D29" s="14"/>
      <c r="E29" s="15"/>
      <c r="F29" s="53"/>
      <c r="G29" s="15"/>
      <c r="H29" s="58"/>
      <c r="I29" s="18"/>
      <c r="J29" s="18"/>
      <c r="K29" s="24">
        <f>500+120</f>
        <v>620</v>
      </c>
      <c r="M29" s="62"/>
      <c r="N29" s="62"/>
      <c r="O29" s="62"/>
      <c r="P29" s="71"/>
      <c r="Q29" s="74"/>
      <c r="R29" s="62"/>
      <c r="S29" s="22"/>
    </row>
    <row r="30" spans="1:19" ht="12" customHeight="1" x14ac:dyDescent="0.25">
      <c r="A30" s="48" t="s">
        <v>53</v>
      </c>
      <c r="B30" s="59"/>
      <c r="C30" s="57"/>
      <c r="D30" s="14"/>
      <c r="E30" s="15"/>
      <c r="F30" s="53"/>
      <c r="G30" s="15"/>
      <c r="H30" s="58"/>
      <c r="I30" s="18"/>
      <c r="J30" s="18"/>
      <c r="K30" s="24">
        <f>400+400</f>
        <v>800</v>
      </c>
      <c r="M30" s="62"/>
      <c r="N30" s="62"/>
      <c r="O30" s="62"/>
      <c r="P30" s="71"/>
      <c r="Q30" s="74"/>
      <c r="R30" s="62"/>
      <c r="S30" s="22"/>
    </row>
    <row r="31" spans="1:19" ht="12" customHeight="1" x14ac:dyDescent="0.25">
      <c r="A31" s="11"/>
      <c r="B31" s="21"/>
      <c r="C31" s="22"/>
      <c r="D31" s="14"/>
      <c r="E31" s="15"/>
      <c r="G31" s="15"/>
      <c r="I31" s="18"/>
      <c r="J31" s="18"/>
      <c r="K31" s="25"/>
      <c r="M31" s="62">
        <v>50000</v>
      </c>
      <c r="N31" s="62">
        <v>11500</v>
      </c>
      <c r="O31" s="62">
        <v>30000</v>
      </c>
      <c r="P31" s="71">
        <v>45000</v>
      </c>
      <c r="Q31" s="74">
        <v>30500</v>
      </c>
      <c r="R31" s="62">
        <v>135000</v>
      </c>
      <c r="S31" s="68">
        <f>+D32-SUM(M31:R31)</f>
        <v>0</v>
      </c>
    </row>
    <row r="32" spans="1:19" ht="12" customHeight="1" x14ac:dyDescent="0.25">
      <c r="A32" s="48" t="s">
        <v>11</v>
      </c>
      <c r="B32" s="49">
        <v>44197</v>
      </c>
      <c r="C32" s="50">
        <v>44286</v>
      </c>
      <c r="D32" s="51">
        <v>302000</v>
      </c>
      <c r="E32" s="52">
        <f t="shared" ref="E32:E33" si="7">DAYS360(B32,C32)</f>
        <v>90</v>
      </c>
      <c r="F32" s="53">
        <f>SUM(IF(E32&lt;31,0,IF(E32&lt;46,1,IF(E32&lt;61,2,IF(E32&lt;76,3,4))))+E32)</f>
        <v>94</v>
      </c>
      <c r="G32" s="54">
        <f>2-$H$13</f>
        <v>0</v>
      </c>
      <c r="H32" s="55">
        <f>+G32+$H$13</f>
        <v>2</v>
      </c>
      <c r="I32" s="18">
        <f t="shared" ref="I32:I33" si="8">+D32/360*F32*H32/100</f>
        <v>1577.1111111111113</v>
      </c>
      <c r="J32" s="18"/>
      <c r="K32" s="25"/>
      <c r="L32" s="14"/>
      <c r="M32" s="62">
        <f>$I$32/$D$32*M31+0.06</f>
        <v>261.17111111111114</v>
      </c>
      <c r="N32" s="62">
        <f>$I$32/$D$32*N31+0.03</f>
        <v>60.085555555555565</v>
      </c>
      <c r="O32" s="62">
        <f>$I$32/$D$32*O31-0.06</f>
        <v>156.60666666666668</v>
      </c>
      <c r="P32" s="71">
        <f>$I$32/$D$32*P31-0.01</f>
        <v>234.99000000000004</v>
      </c>
      <c r="Q32" s="74">
        <f>$I$32/$D$32*Q31+0.01</f>
        <v>159.28777777777779</v>
      </c>
      <c r="R32" s="62">
        <f>$I$32/$D$32*R31-0.04</f>
        <v>704.96000000000015</v>
      </c>
      <c r="S32" s="68">
        <f>+I32-SUM(M32:R32)-0.01</f>
        <v>-2.3646883062777846E-13</v>
      </c>
    </row>
    <row r="33" spans="1:19" ht="12" customHeight="1" x14ac:dyDescent="0.25">
      <c r="A33" s="48" t="s">
        <v>26</v>
      </c>
      <c r="B33" s="49">
        <v>44225</v>
      </c>
      <c r="C33" s="50">
        <v>44286</v>
      </c>
      <c r="D33" s="51">
        <v>50000</v>
      </c>
      <c r="E33" s="52">
        <f t="shared" si="7"/>
        <v>62</v>
      </c>
      <c r="F33" s="53">
        <f>SUM(IF(E33&lt;31,0,IF(E33&lt;46,1,IF(E33&lt;61,2,IF(E33&lt;76,3,4))))+E33)-1</f>
        <v>64</v>
      </c>
      <c r="G33" s="54">
        <f>2-$H$13</f>
        <v>0</v>
      </c>
      <c r="H33" s="55">
        <f>+G33+$H$13</f>
        <v>2</v>
      </c>
      <c r="I33" s="18">
        <f t="shared" si="8"/>
        <v>177.77777777777777</v>
      </c>
      <c r="J33" s="18"/>
      <c r="K33" s="25"/>
      <c r="L33" s="51"/>
      <c r="M33" s="62"/>
      <c r="N33" s="62"/>
      <c r="O33" s="62"/>
      <c r="P33" s="71"/>
      <c r="Q33" s="74">
        <f>+I33</f>
        <v>177.77777777777777</v>
      </c>
      <c r="R33" s="62"/>
      <c r="S33" s="22"/>
    </row>
    <row r="34" spans="1:19" ht="12" customHeight="1" x14ac:dyDescent="0.25">
      <c r="A34" s="48"/>
      <c r="B34" s="49"/>
      <c r="C34" s="50"/>
      <c r="D34" s="51"/>
      <c r="E34" s="52"/>
      <c r="F34" s="53"/>
      <c r="G34" s="54"/>
      <c r="H34" s="55"/>
      <c r="I34" s="18"/>
      <c r="J34" s="18"/>
      <c r="K34" s="25"/>
      <c r="L34" s="14"/>
      <c r="M34" s="62">
        <f>+M31</f>
        <v>50000</v>
      </c>
      <c r="N34" s="62">
        <f>+N31</f>
        <v>11500</v>
      </c>
      <c r="O34" s="62">
        <f>+O31</f>
        <v>30000</v>
      </c>
      <c r="P34" s="71">
        <f>+P31</f>
        <v>45000</v>
      </c>
      <c r="Q34" s="74">
        <f>+Q31+D33</f>
        <v>80500</v>
      </c>
      <c r="R34" s="62">
        <f>+R31</f>
        <v>135000</v>
      </c>
      <c r="S34" s="68">
        <f>+D35-SUM(M34:R34)</f>
        <v>0</v>
      </c>
    </row>
    <row r="35" spans="1:19" ht="12" customHeight="1" x14ac:dyDescent="0.25">
      <c r="A35" s="48" t="s">
        <v>11</v>
      </c>
      <c r="B35" s="49">
        <v>44286</v>
      </c>
      <c r="C35" s="50">
        <v>44377</v>
      </c>
      <c r="D35" s="51">
        <f>SUM(D32:D34)</f>
        <v>352000</v>
      </c>
      <c r="E35" s="52">
        <f t="shared" ref="E35:E36" si="9">DAYS360(B35,C35)</f>
        <v>90</v>
      </c>
      <c r="F35" s="53">
        <f>SUM(IF(E35&lt;31,0,IF(E35&lt;46,1,IF(E35&lt;61,2,IF(E35&lt;76,3,4))))+E35)+1</f>
        <v>95</v>
      </c>
      <c r="G35" s="54">
        <f>2-$H$13</f>
        <v>0</v>
      </c>
      <c r="H35" s="55">
        <f>+G35+$H$13</f>
        <v>2</v>
      </c>
      <c r="I35" s="18">
        <f t="shared" ref="I35:I36" si="10">+D35/360*F35*H35/100</f>
        <v>1857.7777777777778</v>
      </c>
      <c r="J35" s="18"/>
      <c r="K35" s="25"/>
      <c r="L35" s="14"/>
      <c r="M35" s="62">
        <f>$I$35/$D$35*M34-0.15</f>
        <v>263.73888888888894</v>
      </c>
      <c r="N35" s="62">
        <f>$I$35/$D$35*N34+0.1</f>
        <v>60.794444444444444</v>
      </c>
      <c r="O35" s="62">
        <f>$I$35/$D$35*O34-0.09</f>
        <v>158.24333333333334</v>
      </c>
      <c r="P35" s="71">
        <f>$I$35/$D$35*P34+0.21</f>
        <v>237.71</v>
      </c>
      <c r="Q35" s="74">
        <f>$I$35/$D$35*Q34+0.01</f>
        <v>424.87111111111113</v>
      </c>
      <c r="R35" s="62">
        <f>$I$35/$D$35*R34-0.07</f>
        <v>712.43</v>
      </c>
      <c r="S35" s="68">
        <f>+I35-SUM(M35:R35)+0.01</f>
        <v>2.3646883062777846E-13</v>
      </c>
    </row>
    <row r="36" spans="1:19" ht="12" customHeight="1" x14ac:dyDescent="0.25">
      <c r="A36" s="48" t="s">
        <v>29</v>
      </c>
      <c r="B36" s="49">
        <v>44348</v>
      </c>
      <c r="C36" s="50">
        <v>44377</v>
      </c>
      <c r="D36" s="51">
        <v>-135000</v>
      </c>
      <c r="E36" s="52">
        <f t="shared" si="9"/>
        <v>29</v>
      </c>
      <c r="F36" s="53">
        <f>SUM(IF(E36&lt;31,0,IF(E36&lt;46,1,IF(E36&lt;61,2,IF(E36&lt;76,3,4))))+E36)</f>
        <v>29</v>
      </c>
      <c r="G36" s="54">
        <f>2-$H$13</f>
        <v>0</v>
      </c>
      <c r="H36" s="55">
        <f>+G36+$H$13</f>
        <v>2</v>
      </c>
      <c r="I36" s="18">
        <f t="shared" si="10"/>
        <v>-217.5</v>
      </c>
      <c r="J36" s="18"/>
      <c r="K36" s="25"/>
      <c r="L36" s="14"/>
      <c r="M36" s="62"/>
      <c r="N36" s="62"/>
      <c r="O36" s="62"/>
      <c r="P36" s="71"/>
      <c r="Q36" s="74"/>
      <c r="R36" s="62">
        <f>+I36</f>
        <v>-217.5</v>
      </c>
      <c r="S36" s="22"/>
    </row>
    <row r="37" spans="1:19" ht="12" customHeight="1" x14ac:dyDescent="0.25">
      <c r="A37" s="48"/>
      <c r="B37" s="49"/>
      <c r="C37" s="50"/>
      <c r="D37" s="51"/>
      <c r="E37" s="52"/>
      <c r="F37" s="53"/>
      <c r="G37" s="54"/>
      <c r="H37" s="55"/>
      <c r="I37" s="18"/>
      <c r="J37" s="18"/>
      <c r="K37" s="25"/>
      <c r="L37" s="14"/>
      <c r="M37" s="62">
        <f>+M34</f>
        <v>50000</v>
      </c>
      <c r="N37" s="62">
        <f>+N34</f>
        <v>11500</v>
      </c>
      <c r="O37" s="62">
        <f>+O34</f>
        <v>30000</v>
      </c>
      <c r="P37" s="71">
        <f>+P34</f>
        <v>45000</v>
      </c>
      <c r="Q37" s="74">
        <f>+Q34</f>
        <v>80500</v>
      </c>
      <c r="R37" s="116"/>
      <c r="S37" s="68">
        <f>+D38-SUM(M37:R37)</f>
        <v>0</v>
      </c>
    </row>
    <row r="38" spans="1:19" ht="12" customHeight="1" x14ac:dyDescent="0.25">
      <c r="A38" s="48" t="s">
        <v>11</v>
      </c>
      <c r="B38" s="49">
        <v>44377</v>
      </c>
      <c r="C38" s="50">
        <v>44439</v>
      </c>
      <c r="D38" s="51">
        <f>SUM(D35:D37)</f>
        <v>217000</v>
      </c>
      <c r="E38" s="52">
        <f t="shared" ref="E38" si="11">DAYS360(B38,C38)</f>
        <v>60</v>
      </c>
      <c r="F38" s="53">
        <f>SUM(IF(E38&lt;31,0,IF(E38&lt;46,1,IF(E38&lt;61,2,IF(E38&lt;76,3,4))))+E38)+3</f>
        <v>65</v>
      </c>
      <c r="G38" s="54">
        <f>2-$H$13</f>
        <v>0</v>
      </c>
      <c r="H38" s="55">
        <f>+G38+$H$13</f>
        <v>2</v>
      </c>
      <c r="I38" s="18">
        <f t="shared" ref="I38" si="12">+D38/360*F38*H38/100</f>
        <v>783.6111111111112</v>
      </c>
      <c r="J38" s="18"/>
      <c r="K38" s="25"/>
      <c r="L38" s="14"/>
      <c r="M38" s="62">
        <f>$I$38/$D$38*M37</f>
        <v>180.55555555555557</v>
      </c>
      <c r="N38" s="62">
        <f>$I$38/$D$38*N37</f>
        <v>41.527777777777779</v>
      </c>
      <c r="O38" s="62">
        <f>$I$38/$D$38*O37</f>
        <v>108.33333333333334</v>
      </c>
      <c r="P38" s="62">
        <f>$I$38/$D$38*P37</f>
        <v>162.5</v>
      </c>
      <c r="Q38" s="74">
        <f>$I$38/$D$38*Q37</f>
        <v>290.69444444444446</v>
      </c>
      <c r="R38" s="116"/>
      <c r="S38" s="68">
        <f>+I38-SUM(M38:R38)</f>
        <v>0</v>
      </c>
    </row>
    <row r="39" spans="1:19" ht="12" customHeight="1" x14ac:dyDescent="0.25">
      <c r="A39" s="48"/>
      <c r="B39" s="49"/>
      <c r="C39" s="50"/>
      <c r="D39" s="51"/>
      <c r="E39" s="52"/>
      <c r="F39" s="53"/>
      <c r="G39" s="54"/>
      <c r="H39" s="55"/>
      <c r="I39" s="18"/>
      <c r="J39" s="18"/>
      <c r="K39" s="25"/>
      <c r="L39" s="14"/>
      <c r="M39" s="62">
        <f t="shared" ref="M39:Q39" si="13">+M37</f>
        <v>50000</v>
      </c>
      <c r="N39" s="62">
        <f t="shared" si="13"/>
        <v>11500</v>
      </c>
      <c r="O39" s="62">
        <f t="shared" si="13"/>
        <v>30000</v>
      </c>
      <c r="P39" s="71">
        <f t="shared" si="13"/>
        <v>45000</v>
      </c>
      <c r="Q39" s="74">
        <f t="shared" si="13"/>
        <v>80500</v>
      </c>
      <c r="R39" s="116"/>
      <c r="S39" s="68">
        <f>+D40-SUM(M39:R39)</f>
        <v>0</v>
      </c>
    </row>
    <row r="40" spans="1:19" ht="12" customHeight="1" x14ac:dyDescent="0.25">
      <c r="A40" s="48" t="s">
        <v>11</v>
      </c>
      <c r="B40" s="49">
        <v>44439</v>
      </c>
      <c r="C40" s="50">
        <v>44530</v>
      </c>
      <c r="D40" s="51">
        <f>SUM(D37:D39)</f>
        <v>217000</v>
      </c>
      <c r="E40" s="52">
        <f t="shared" ref="E40" si="14">DAYS360(B40,C40)</f>
        <v>90</v>
      </c>
      <c r="F40" s="53">
        <f>SUM(IF(E40&lt;31,0,IF(E40&lt;46,1,IF(E40&lt;61,2,IF(E40&lt;76,3,4))))+E40)+1</f>
        <v>95</v>
      </c>
      <c r="G40" s="54">
        <f>2-$H$13</f>
        <v>0</v>
      </c>
      <c r="H40" s="55">
        <f>+G40+$H$13</f>
        <v>2</v>
      </c>
      <c r="I40" s="18">
        <f t="shared" ref="I40" si="15">+D40/360*F40*H40/100</f>
        <v>1145.2777777777778</v>
      </c>
      <c r="J40" s="18"/>
      <c r="K40" s="25"/>
      <c r="L40" s="14"/>
      <c r="M40" s="62">
        <f>$I$40/$D$40*M39</f>
        <v>263.88888888888891</v>
      </c>
      <c r="N40" s="62">
        <f>$I$40/$D$40*N39</f>
        <v>60.694444444444443</v>
      </c>
      <c r="O40" s="62">
        <f>$I$40/$D$40*O39</f>
        <v>158.33333333333334</v>
      </c>
      <c r="P40" s="62">
        <f>$I$40/$D$40*P39</f>
        <v>237.5</v>
      </c>
      <c r="Q40" s="74">
        <f>$I$40/$D$40*Q39+0.01</f>
        <v>424.87111111111113</v>
      </c>
      <c r="R40" s="116"/>
      <c r="S40" s="68">
        <f>+I40-SUM(M40:R40)+0.01</f>
        <v>9.0951551845463996E-15</v>
      </c>
    </row>
    <row r="41" spans="1:19" ht="12" customHeight="1" x14ac:dyDescent="0.25">
      <c r="A41" s="48"/>
      <c r="B41" s="49"/>
      <c r="C41" s="50"/>
      <c r="D41" s="51"/>
      <c r="E41" s="52"/>
      <c r="F41" s="53"/>
      <c r="G41" s="54"/>
      <c r="H41" s="55"/>
      <c r="I41" s="18"/>
      <c r="J41" s="18"/>
      <c r="K41" s="25"/>
      <c r="L41" s="14"/>
      <c r="M41" s="62">
        <f t="shared" ref="M41:Q41" si="16">+M39</f>
        <v>50000</v>
      </c>
      <c r="N41" s="62">
        <f t="shared" si="16"/>
        <v>11500</v>
      </c>
      <c r="O41" s="62">
        <f t="shared" si="16"/>
        <v>30000</v>
      </c>
      <c r="P41" s="71">
        <f t="shared" si="16"/>
        <v>45000</v>
      </c>
      <c r="Q41" s="74">
        <f t="shared" si="16"/>
        <v>80500</v>
      </c>
      <c r="R41" s="116"/>
      <c r="S41" s="68">
        <f>+D42-SUM(M41:R41)</f>
        <v>0</v>
      </c>
    </row>
    <row r="42" spans="1:19" ht="12" customHeight="1" x14ac:dyDescent="0.25">
      <c r="A42" s="48" t="s">
        <v>11</v>
      </c>
      <c r="B42" s="49">
        <v>44530</v>
      </c>
      <c r="C42" s="50">
        <v>44620</v>
      </c>
      <c r="D42" s="51">
        <f>SUM(D39:D41)</f>
        <v>217000</v>
      </c>
      <c r="E42" s="52">
        <f t="shared" ref="E42" si="17">DAYS360(B42,C42)</f>
        <v>88</v>
      </c>
      <c r="F42" s="53">
        <f>SUM(IF(E42&lt;31,0,IF(E42&lt;46,1,IF(E42&lt;61,2,IF(E42&lt;76,3,4))))+E42)+2</f>
        <v>94</v>
      </c>
      <c r="G42" s="54">
        <f>2-$H$13</f>
        <v>0</v>
      </c>
      <c r="H42" s="55">
        <f>+G42+$H$13</f>
        <v>2</v>
      </c>
      <c r="I42" s="18">
        <f t="shared" ref="I42:I43" si="18">+D42/360*F42*H42/100</f>
        <v>1133.2222222222224</v>
      </c>
      <c r="J42" s="18"/>
      <c r="K42" s="25"/>
      <c r="L42" s="14"/>
      <c r="M42" s="62">
        <f>$I$42/$D$42*M41</f>
        <v>261.11111111111114</v>
      </c>
      <c r="N42" s="62">
        <f>$I$42/$D$42*N41</f>
        <v>60.055555555555564</v>
      </c>
      <c r="O42" s="62">
        <f t="shared" ref="O42:P42" si="19">$I$42/$D$42*O41</f>
        <v>156.66666666666669</v>
      </c>
      <c r="P42" s="62">
        <f t="shared" si="19"/>
        <v>235.00000000000003</v>
      </c>
      <c r="Q42" s="74">
        <f>$I$42/$D$42*Q41-0.01</f>
        <v>420.37888888888892</v>
      </c>
      <c r="R42" s="116"/>
      <c r="S42" s="68">
        <f>+I42-SUM(M42:R42)-0.01</f>
        <v>-9.0951551845463996E-15</v>
      </c>
    </row>
    <row r="43" spans="1:19" ht="12" customHeight="1" x14ac:dyDescent="0.25">
      <c r="A43" s="48" t="s">
        <v>44</v>
      </c>
      <c r="B43" s="49">
        <v>44593</v>
      </c>
      <c r="C43" s="50">
        <v>44620</v>
      </c>
      <c r="D43" s="51">
        <v>-50000</v>
      </c>
      <c r="E43" s="52">
        <f>DAYS360(B43,C43)+2</f>
        <v>29</v>
      </c>
      <c r="F43" s="53">
        <f>SUM(IF(E43&lt;31,0,IF(E43&lt;46,1,IF(E43&lt;61,2,IF(E43&lt;76,3,4))))+E43)-2</f>
        <v>27</v>
      </c>
      <c r="G43" s="54">
        <f>2-$H$13</f>
        <v>0</v>
      </c>
      <c r="H43" s="55">
        <f>+G43+$H$13</f>
        <v>2</v>
      </c>
      <c r="I43" s="18">
        <f t="shared" si="18"/>
        <v>-75</v>
      </c>
      <c r="J43" s="18"/>
      <c r="K43" s="25"/>
      <c r="L43" s="14"/>
      <c r="M43" s="116"/>
      <c r="N43" s="116"/>
      <c r="O43" s="116"/>
      <c r="P43" s="118"/>
      <c r="Q43" s="116"/>
      <c r="R43" s="116"/>
      <c r="S43" s="119"/>
    </row>
    <row r="44" spans="1:19" ht="12" customHeight="1" x14ac:dyDescent="0.25">
      <c r="A44" s="48"/>
      <c r="B44" s="49"/>
      <c r="C44" s="50"/>
      <c r="D44" s="51"/>
      <c r="E44" s="52"/>
      <c r="F44" s="53"/>
      <c r="G44" s="54"/>
      <c r="H44" s="55"/>
      <c r="I44" s="18"/>
      <c r="J44" s="18"/>
      <c r="K44" s="25"/>
      <c r="L44" s="14"/>
      <c r="M44" s="116"/>
      <c r="N44" s="116"/>
      <c r="O44" s="116"/>
      <c r="P44" s="118"/>
      <c r="Q44" s="116"/>
      <c r="R44" s="116"/>
      <c r="S44" s="119"/>
    </row>
    <row r="45" spans="1:19" ht="12" customHeight="1" x14ac:dyDescent="0.25">
      <c r="A45" s="48" t="s">
        <v>11</v>
      </c>
      <c r="B45" s="49">
        <v>44620</v>
      </c>
      <c r="C45" s="50">
        <v>44711</v>
      </c>
      <c r="D45" s="51">
        <f>SUM(D42:D44)</f>
        <v>167000</v>
      </c>
      <c r="E45" s="52">
        <f>DAYS360(B45,C45)+2</f>
        <v>92</v>
      </c>
      <c r="F45" s="53">
        <f>SUM(IF(E45&lt;31,0,IF(E45&lt;46,1,IF(E45&lt;61,2,IF(E45&lt;76,3,4))))+E45)-1</f>
        <v>95</v>
      </c>
      <c r="G45" s="54">
        <f>2-$H$13</f>
        <v>0</v>
      </c>
      <c r="H45" s="55">
        <f>+G45+$H$13</f>
        <v>2</v>
      </c>
      <c r="I45" s="18">
        <f t="shared" ref="I45:I46" si="20">+D45/360*F45*H45/100</f>
        <v>881.38888888888891</v>
      </c>
      <c r="J45" s="18"/>
      <c r="K45" s="25"/>
      <c r="L45" s="14"/>
      <c r="M45" s="116"/>
      <c r="N45" s="116"/>
      <c r="O45" s="116"/>
      <c r="P45" s="118"/>
      <c r="Q45" s="116"/>
      <c r="R45" s="116"/>
      <c r="S45" s="119"/>
    </row>
    <row r="46" spans="1:19" ht="12" customHeight="1" x14ac:dyDescent="0.25">
      <c r="A46" s="48" t="s">
        <v>44</v>
      </c>
      <c r="B46" s="49">
        <v>44699</v>
      </c>
      <c r="C46" s="50">
        <v>44711</v>
      </c>
      <c r="D46" s="51">
        <v>-50000</v>
      </c>
      <c r="E46" s="52">
        <f>DAYS360(B46,C46)+2</f>
        <v>14</v>
      </c>
      <c r="F46" s="53">
        <f>SUM(IF(E46&lt;31,0,IF(E46&lt;46,1,IF(E46&lt;61,2,IF(E46&lt;76,3,4))))+E46)-2</f>
        <v>12</v>
      </c>
      <c r="G46" s="54">
        <f>2-$H$13</f>
        <v>0</v>
      </c>
      <c r="H46" s="55">
        <f>+G46+$H$13</f>
        <v>2</v>
      </c>
      <c r="I46" s="18">
        <f t="shared" si="20"/>
        <v>-33.333333333333329</v>
      </c>
      <c r="J46" s="18"/>
      <c r="K46" s="25"/>
      <c r="L46" s="14"/>
      <c r="M46" s="116"/>
      <c r="N46" s="116"/>
      <c r="O46" s="116"/>
      <c r="P46" s="118"/>
      <c r="Q46" s="116"/>
      <c r="R46" s="116"/>
      <c r="S46" s="119"/>
    </row>
    <row r="47" spans="1:19" ht="12" customHeight="1" x14ac:dyDescent="0.25">
      <c r="A47" s="48"/>
      <c r="B47" s="49"/>
      <c r="C47" s="50"/>
      <c r="D47" s="51"/>
      <c r="E47" s="52"/>
      <c r="F47" s="53"/>
      <c r="G47" s="54"/>
      <c r="H47" s="55"/>
      <c r="I47" s="18"/>
      <c r="J47" s="18"/>
      <c r="K47" s="25"/>
      <c r="L47" s="14"/>
      <c r="M47" s="116"/>
      <c r="N47" s="116"/>
      <c r="O47" s="116"/>
      <c r="P47" s="118"/>
      <c r="Q47" s="116"/>
      <c r="R47" s="116"/>
      <c r="S47" s="119"/>
    </row>
    <row r="48" spans="1:19" ht="12" customHeight="1" x14ac:dyDescent="0.25">
      <c r="A48" s="48" t="s">
        <v>11</v>
      </c>
      <c r="B48" s="49">
        <v>44711</v>
      </c>
      <c r="C48" s="50">
        <v>44803</v>
      </c>
      <c r="D48" s="51">
        <f>SUM(D45:D47)</f>
        <v>117000</v>
      </c>
      <c r="E48" s="52">
        <f>DAYS360(B48,C48)+2</f>
        <v>92</v>
      </c>
      <c r="F48" s="53">
        <f>SUM(IF(E48&lt;31,0,IF(E48&lt;46,1,IF(E48&lt;61,2,IF(E48&lt;76,3,4))))+E48)</f>
        <v>96</v>
      </c>
      <c r="G48" s="54">
        <f>2-$H$13</f>
        <v>0</v>
      </c>
      <c r="H48" s="55">
        <f>+G48+$H$13</f>
        <v>2</v>
      </c>
      <c r="I48" s="18">
        <f t="shared" ref="I48" si="21">+D48/360*F48*H48/100</f>
        <v>624</v>
      </c>
      <c r="J48" s="18"/>
      <c r="K48" s="25"/>
      <c r="L48" s="14"/>
      <c r="M48" s="116"/>
      <c r="N48" s="116"/>
      <c r="O48" s="116"/>
      <c r="P48" s="118"/>
      <c r="Q48" s="116"/>
      <c r="R48" s="116"/>
      <c r="S48" s="119"/>
    </row>
    <row r="49" spans="1:19" ht="12" customHeight="1" x14ac:dyDescent="0.25">
      <c r="A49" s="48"/>
      <c r="B49" s="49"/>
      <c r="C49" s="50"/>
      <c r="D49" s="51"/>
      <c r="E49" s="52"/>
      <c r="F49" s="53"/>
      <c r="G49" s="54"/>
      <c r="H49" s="55"/>
      <c r="I49" s="18"/>
      <c r="J49" s="18"/>
      <c r="K49" s="25"/>
      <c r="L49" s="14"/>
      <c r="M49" s="116"/>
      <c r="N49" s="116"/>
      <c r="O49" s="116"/>
      <c r="P49" s="118"/>
      <c r="Q49" s="116"/>
      <c r="R49" s="116"/>
      <c r="S49" s="119"/>
    </row>
    <row r="50" spans="1:19" ht="12" customHeight="1" x14ac:dyDescent="0.25">
      <c r="A50" s="48" t="s">
        <v>11</v>
      </c>
      <c r="B50" s="49">
        <v>44803</v>
      </c>
      <c r="C50" s="50">
        <v>44895</v>
      </c>
      <c r="D50" s="51">
        <f>SUM(D47:D49)</f>
        <v>117000</v>
      </c>
      <c r="E50" s="52">
        <f>DAYS360(B50,C50)+2</f>
        <v>92</v>
      </c>
      <c r="F50" s="53">
        <f>SUM(IF(E50&lt;31,0,IF(E50&lt;46,1,IF(E50&lt;61,2,IF(E50&lt;76,3,4))))+E50)</f>
        <v>96</v>
      </c>
      <c r="G50" s="54">
        <f>2.542-$H$13</f>
        <v>0.54199999999999982</v>
      </c>
      <c r="H50" s="55">
        <f>+G50+$H$13</f>
        <v>2.5419999999999998</v>
      </c>
      <c r="I50" s="18">
        <f t="shared" ref="I50" si="22">+D50/360*F50*H50/100</f>
        <v>793.10399999999993</v>
      </c>
      <c r="J50" s="18"/>
      <c r="K50" s="25"/>
      <c r="L50" s="14"/>
      <c r="M50" s="116"/>
      <c r="N50" s="116"/>
      <c r="O50" s="116"/>
      <c r="P50" s="118"/>
      <c r="Q50" s="116"/>
      <c r="R50" s="116"/>
      <c r="S50" s="119"/>
    </row>
    <row r="51" spans="1:19" ht="12" customHeight="1" x14ac:dyDescent="0.25">
      <c r="A51" s="48"/>
      <c r="B51" s="49"/>
      <c r="C51" s="50"/>
      <c r="D51" s="51"/>
      <c r="E51" s="52"/>
      <c r="F51" s="53"/>
      <c r="G51" s="54"/>
      <c r="H51" s="55"/>
      <c r="I51" s="18"/>
      <c r="J51" s="18"/>
      <c r="K51" s="25"/>
      <c r="L51" s="14"/>
      <c r="M51" s="116"/>
      <c r="N51" s="116"/>
      <c r="O51" s="116"/>
      <c r="P51" s="118"/>
      <c r="Q51" s="116"/>
      <c r="R51" s="116"/>
      <c r="S51" s="119"/>
    </row>
    <row r="52" spans="1:19" ht="12" customHeight="1" x14ac:dyDescent="0.25">
      <c r="A52" s="48" t="s">
        <v>11</v>
      </c>
      <c r="B52" s="49">
        <v>44895</v>
      </c>
      <c r="C52" s="50">
        <v>44985</v>
      </c>
      <c r="D52" s="51">
        <f>SUM(D49:D51)</f>
        <v>117000</v>
      </c>
      <c r="E52" s="52">
        <f>DAYS360(B52,C52)+2</f>
        <v>90</v>
      </c>
      <c r="F52" s="53">
        <f>SUM(IF(E52&lt;31,0,IF(E52&lt;46,1,IF(E52&lt;61,2,IF(E52&lt;76,3,4))))+E52)</f>
        <v>94</v>
      </c>
      <c r="G52" s="54">
        <f>3.954-$H$13</f>
        <v>1.9540000000000002</v>
      </c>
      <c r="H52" s="55">
        <f>+G52+$H$13</f>
        <v>3.9540000000000002</v>
      </c>
      <c r="I52" s="18">
        <f t="shared" ref="I52" si="23">+D52/360*F52*H52/100</f>
        <v>1207.9470000000001</v>
      </c>
      <c r="J52" s="18"/>
      <c r="K52" s="25"/>
      <c r="L52" s="14"/>
      <c r="M52" s="116"/>
      <c r="N52" s="116"/>
      <c r="O52" s="116"/>
      <c r="P52" s="118"/>
      <c r="Q52" s="116"/>
      <c r="R52" s="116"/>
      <c r="S52" s="119"/>
    </row>
    <row r="53" spans="1:19" ht="12" customHeight="1" x14ac:dyDescent="0.25">
      <c r="A53" s="48"/>
      <c r="B53" s="49"/>
      <c r="C53" s="50"/>
      <c r="D53" s="51"/>
      <c r="E53" s="52"/>
      <c r="F53" s="53"/>
      <c r="G53" s="54"/>
      <c r="H53" s="55"/>
      <c r="I53" s="18"/>
      <c r="J53" s="18"/>
      <c r="K53" s="25"/>
      <c r="L53" s="14"/>
      <c r="M53" s="116"/>
      <c r="N53" s="116"/>
      <c r="O53" s="116"/>
      <c r="P53" s="118"/>
      <c r="Q53" s="116"/>
      <c r="R53" s="116"/>
      <c r="S53" s="119"/>
    </row>
    <row r="54" spans="1:19" ht="12" customHeight="1" x14ac:dyDescent="0.25">
      <c r="A54" s="48" t="s">
        <v>11</v>
      </c>
      <c r="B54" s="49">
        <v>44985</v>
      </c>
      <c r="C54" s="50">
        <v>45072</v>
      </c>
      <c r="D54" s="51">
        <f>SUM(D51:D53)</f>
        <v>117000</v>
      </c>
      <c r="E54" s="52">
        <f>DAYS360(B54,C54)+2</f>
        <v>88</v>
      </c>
      <c r="F54" s="53">
        <f>SUM(IF(E54&lt;31,0,IF(E54&lt;46,1,IF(E54&lt;61,2,IF(E54&lt;76,3,4))))+E54)-1</f>
        <v>91</v>
      </c>
      <c r="G54" s="54">
        <f>4.698-$H$13</f>
        <v>2.6980000000000004</v>
      </c>
      <c r="H54" s="55">
        <f>+G54+$H$13</f>
        <v>4.6980000000000004</v>
      </c>
      <c r="I54" s="18">
        <f t="shared" ref="I54" si="24">+D54/360*F54*H54/100</f>
        <v>1389.4335000000001</v>
      </c>
      <c r="J54" s="18"/>
      <c r="K54" s="25"/>
      <c r="L54" s="14"/>
      <c r="M54" s="116"/>
      <c r="N54" s="116"/>
      <c r="O54" s="116"/>
      <c r="P54" s="118"/>
      <c r="Q54" s="116"/>
      <c r="R54" s="116"/>
      <c r="S54" s="119"/>
    </row>
    <row r="55" spans="1:19" ht="12" customHeight="1" x14ac:dyDescent="0.25">
      <c r="A55" s="48"/>
      <c r="B55" s="49"/>
      <c r="C55" s="50"/>
      <c r="D55" s="51"/>
      <c r="E55" s="52"/>
      <c r="F55" s="53"/>
      <c r="G55" s="54"/>
      <c r="H55" s="55"/>
      <c r="I55" s="18"/>
      <c r="J55" s="18"/>
      <c r="K55" s="25"/>
      <c r="L55" s="14"/>
      <c r="M55" s="116"/>
      <c r="N55" s="116"/>
      <c r="O55" s="116"/>
      <c r="P55" s="118"/>
      <c r="Q55" s="116"/>
      <c r="R55" s="116"/>
      <c r="S55" s="119"/>
    </row>
    <row r="56" spans="1:19" ht="12" customHeight="1" x14ac:dyDescent="0.25">
      <c r="A56" s="48" t="s">
        <v>11</v>
      </c>
      <c r="B56" s="49">
        <v>45072</v>
      </c>
      <c r="C56" s="50">
        <v>45107</v>
      </c>
      <c r="D56" s="51">
        <f>SUM(D53:D55)</f>
        <v>117000</v>
      </c>
      <c r="E56" s="52">
        <f>DAYS360(B56,C56)+2</f>
        <v>36</v>
      </c>
      <c r="F56" s="53">
        <f>SUM(IF(E56&lt;31,0,IF(E56&lt;46,1,IF(E56&lt;61,2,IF(E56&lt;76,3,4))))+E56)-1</f>
        <v>36</v>
      </c>
      <c r="G56" s="54">
        <f>5.415-$H$13</f>
        <v>3.415</v>
      </c>
      <c r="H56" s="55">
        <f>+G56+$H$13</f>
        <v>5.415</v>
      </c>
      <c r="I56" s="18">
        <f t="shared" ref="I56" si="25">+D56/360*F56*H56/100</f>
        <v>633.55499999999995</v>
      </c>
      <c r="J56" s="18"/>
      <c r="K56" s="25"/>
      <c r="L56" s="14"/>
      <c r="M56" s="116"/>
      <c r="N56" s="116"/>
      <c r="O56" s="116"/>
      <c r="P56" s="118"/>
      <c r="Q56" s="116"/>
      <c r="R56" s="116"/>
      <c r="S56" s="119"/>
    </row>
    <row r="57" spans="1:19" ht="12" customHeight="1" x14ac:dyDescent="0.25">
      <c r="A57" s="48"/>
      <c r="B57" s="49"/>
      <c r="C57" s="50"/>
      <c r="D57" s="51"/>
      <c r="E57" s="52"/>
      <c r="F57" s="53"/>
      <c r="G57" s="54"/>
      <c r="H57" s="55"/>
      <c r="I57" s="18"/>
      <c r="J57" s="18"/>
      <c r="K57" s="25"/>
      <c r="L57" s="14"/>
    </row>
    <row r="58" spans="1:19" s="145" customFormat="1" ht="12" customHeight="1" x14ac:dyDescent="0.25">
      <c r="A58" s="134" t="s">
        <v>11</v>
      </c>
      <c r="B58" s="135">
        <v>45107</v>
      </c>
      <c r="C58" s="146">
        <v>45198</v>
      </c>
      <c r="D58" s="147">
        <f>SUM(D55:D57)</f>
        <v>117000</v>
      </c>
      <c r="E58" s="148">
        <f>DAYS360(B58,C58)+2</f>
        <v>91</v>
      </c>
      <c r="F58" s="139">
        <f>SUM(IF(E58&lt;31,0,IF(E58&lt;46,1,IF(E58&lt;61,2,IF(E58&lt;76,3,4))))+E58)</f>
        <v>95</v>
      </c>
      <c r="G58" s="149">
        <f>5.598-$H$14</f>
        <v>5.5979999999999999</v>
      </c>
      <c r="H58" s="150">
        <f>+G58+$H$14</f>
        <v>5.5979999999999999</v>
      </c>
      <c r="I58" s="142">
        <f t="shared" ref="I58:I59" si="26">+D58/360*F58*H58/100</f>
        <v>1728.3824999999999</v>
      </c>
      <c r="J58" s="142"/>
      <c r="K58" s="151"/>
      <c r="L58" s="137"/>
    </row>
    <row r="59" spans="1:19" ht="12" customHeight="1" x14ac:dyDescent="0.25">
      <c r="A59" s="48" t="s">
        <v>55</v>
      </c>
      <c r="B59" s="49">
        <v>45113</v>
      </c>
      <c r="C59" s="50">
        <v>45198</v>
      </c>
      <c r="D59" s="51">
        <v>-117000</v>
      </c>
      <c r="E59" s="52">
        <f>DAYS360(B59,C59)+2</f>
        <v>85</v>
      </c>
      <c r="F59" s="53">
        <f>SUM(IF(E59&lt;31,0,IF(E59&lt;46,1,IF(E59&lt;61,2,IF(E59&lt;76,3,4))))+E59)-4</f>
        <v>85</v>
      </c>
      <c r="G59" s="54">
        <f>5.598-$H$14</f>
        <v>5.5979999999999999</v>
      </c>
      <c r="H59" s="55">
        <f>+G59+$H$14</f>
        <v>5.5979999999999999</v>
      </c>
      <c r="I59" s="18">
        <f t="shared" si="26"/>
        <v>-1546.4475</v>
      </c>
      <c r="J59" s="18"/>
      <c r="K59" s="25"/>
      <c r="L59" s="14"/>
    </row>
    <row r="60" spans="1:19" ht="12" customHeight="1" thickBot="1" x14ac:dyDescent="0.3">
      <c r="A60" s="26"/>
      <c r="B60" s="27"/>
      <c r="C60" s="28"/>
      <c r="D60" s="29"/>
      <c r="E60" s="30"/>
      <c r="F60" s="31"/>
      <c r="G60" s="30"/>
      <c r="H60" s="31"/>
      <c r="I60" s="32"/>
      <c r="J60" s="32"/>
      <c r="K60" s="33"/>
      <c r="M60" s="117"/>
      <c r="N60" s="117"/>
      <c r="O60" s="117"/>
      <c r="P60" s="120"/>
      <c r="Q60" s="117"/>
      <c r="R60" s="117"/>
      <c r="S60" s="121"/>
    </row>
    <row r="61" spans="1:19" s="42" customFormat="1" ht="24" customHeight="1" thickBot="1" x14ac:dyDescent="0.3">
      <c r="A61" s="34" t="s">
        <v>10</v>
      </c>
      <c r="B61" s="35"/>
      <c r="C61" s="36"/>
      <c r="D61" s="37">
        <f>SUM(D58:D60)</f>
        <v>0</v>
      </c>
      <c r="E61" s="38"/>
      <c r="F61" s="39"/>
      <c r="G61" s="38"/>
      <c r="H61" s="38"/>
      <c r="I61" s="40">
        <f>SUM(I3:I60)</f>
        <v>47016.737833333333</v>
      </c>
      <c r="J61" s="40">
        <f>SUM(J3:J60)</f>
        <v>4591.916666666667</v>
      </c>
      <c r="K61" s="41">
        <f>SUM(K3:K60)</f>
        <v>2268.27</v>
      </c>
      <c r="M61" s="123">
        <f>+M6+M18+M7+M8+M9+M10+M11+M17+M19+M32+M33+M35+M36+M38+M40+M42+M43+0.01</f>
        <v>15614.514444444443</v>
      </c>
      <c r="N61" s="123">
        <f>+N6+N18+N7+N8+N9+N10+N11+N17+N19+N32+N33+N35+N36+N38+N40+N42+N43+0.01</f>
        <v>8490.0722222222212</v>
      </c>
      <c r="O61" s="123">
        <f>+O6+O18+O7+O8+O9+O10+O11+O17+O19+O32+O33+O35+O36+O38+O40+O42+O43-0.01</f>
        <v>4305.9966666666669</v>
      </c>
      <c r="P61" s="123">
        <f>+P6+P18+P7+P8+P9+P10+P11+P17+P19+P32+P33+P35+P36+P38+P40+P42+P43</f>
        <v>6459.79</v>
      </c>
      <c r="Q61" s="123">
        <f>+Q6+Q18+Q7+Q8+Q9+Q10+Q11+Q17+Q19+Q32+Q33+Q35+Q36+Q38+Q40+Q42+Q43+0.01</f>
        <v>5416.362222222222</v>
      </c>
      <c r="R61" s="123">
        <f>+R6+R18+R7+R8+R9+R10+R11+R17+R19+R32+R33+R35+R36+R38+R40+R42+R43</f>
        <v>3714.0099999999998</v>
      </c>
      <c r="S61" s="123">
        <f>+I61+J61-SUM(M61:R61)</f>
        <v>7607.9089444444398</v>
      </c>
    </row>
    <row r="62" spans="1:19" s="42" customFormat="1" ht="24" customHeight="1" thickBot="1" x14ac:dyDescent="0.3">
      <c r="A62" s="43"/>
      <c r="B62" s="44"/>
      <c r="C62" s="44"/>
      <c r="D62" s="45"/>
      <c r="E62" s="44"/>
      <c r="F62" s="44"/>
      <c r="G62" s="44"/>
      <c r="H62" s="46"/>
      <c r="I62" s="129">
        <f>+I61+J61+0.01</f>
        <v>51608.664499999999</v>
      </c>
      <c r="J62" s="130"/>
      <c r="K62" s="47"/>
      <c r="M62" s="131" t="s">
        <v>48</v>
      </c>
      <c r="N62" s="132"/>
      <c r="O62" s="132"/>
      <c r="P62" s="132"/>
      <c r="Q62" s="132"/>
      <c r="R62" s="132"/>
      <c r="S62" s="133"/>
    </row>
    <row r="64" spans="1:19" s="104" customFormat="1" ht="12" customHeight="1" x14ac:dyDescent="0.25">
      <c r="A64" s="104" t="s">
        <v>24</v>
      </c>
      <c r="D64" s="105">
        <f>-'2023'!D23+TOTAUX!D61</f>
        <v>0</v>
      </c>
      <c r="I64" s="106">
        <f>+I61-I6-I7-I8-I9-I10-I11-'2021'!I26-'2022'!I28-'2023'!I23+0.01</f>
        <v>1.1459635324007067E-12</v>
      </c>
      <c r="J64" s="106">
        <f>+J61-J6-J7-J8-J9-J10-J11-'2021'!J26-'2022'!J28-'2023'!J23</f>
        <v>0</v>
      </c>
      <c r="K64" s="106">
        <f>+K61-K6-K7-K8-K9-K10-K11-'2021'!K26-'2022'!K28-'2023'!K23</f>
        <v>0</v>
      </c>
    </row>
    <row r="66" spans="9:9" ht="12" customHeight="1" x14ac:dyDescent="0.25">
      <c r="I66" s="14"/>
    </row>
  </sheetData>
  <mergeCells count="3">
    <mergeCell ref="B2:C2"/>
    <mergeCell ref="I62:J62"/>
    <mergeCell ref="M62:S62"/>
  </mergeCells>
  <printOptions horizontalCentered="1"/>
  <pageMargins left="0.15748031496062992" right="0.15748031496062992" top="0.86614173228346458" bottom="0.47244094488188981" header="0.43307086614173229" footer="0.23622047244094491"/>
  <pageSetup paperSize="9" scale="82" orientation="landscape" r:id="rId1"/>
  <headerFooter alignWithMargins="0">
    <oddHeader>&amp;L&amp;"Arial,Gras"&amp;12CHIFOUMI PRODUCTIONS&amp;C&amp;"Arial,Gras"&amp;14COFILOISIRS - DEVELOPPEMENT</oddHeader>
    <oddFooter>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83116-55B7-4429-82F7-9D5EA3EA2013}">
  <sheetPr>
    <pageSetUpPr fitToPage="1"/>
  </sheetPr>
  <dimension ref="A1:S28"/>
  <sheetViews>
    <sheetView zoomScaleNormal="100" workbookViewId="0">
      <selection activeCell="F28" sqref="F28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9.6640625" style="1" customWidth="1"/>
    <col min="10" max="11" width="9.6640625" style="3" customWidth="1"/>
    <col min="12" max="12" width="1.6640625" style="1" customWidth="1"/>
    <col min="13" max="17" width="9.6640625" style="1" customWidth="1"/>
    <col min="18" max="19" width="10.6640625" style="1" customWidth="1"/>
    <col min="20" max="16384" width="11.5546875" style="1"/>
  </cols>
  <sheetData>
    <row r="1" spans="1:19" ht="12" customHeight="1" thickBot="1" x14ac:dyDescent="0.3"/>
    <row r="2" spans="1:19" s="60" customFormat="1" ht="24" customHeight="1" thickBot="1" x14ac:dyDescent="0.3">
      <c r="A2" s="4" t="s">
        <v>36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  <c r="M2" s="76" t="s">
        <v>13</v>
      </c>
      <c r="N2" s="76" t="s">
        <v>14</v>
      </c>
      <c r="O2" s="76" t="s">
        <v>15</v>
      </c>
      <c r="P2" s="77" t="s">
        <v>16</v>
      </c>
      <c r="Q2" s="78" t="s">
        <v>17</v>
      </c>
      <c r="R2" s="76" t="s">
        <v>18</v>
      </c>
      <c r="S2" s="79" t="s">
        <v>24</v>
      </c>
    </row>
    <row r="3" spans="1:19" ht="12" customHeight="1" x14ac:dyDescent="0.25">
      <c r="A3" s="11"/>
      <c r="B3" s="12"/>
      <c r="C3" s="13"/>
      <c r="D3" s="14"/>
      <c r="E3" s="15"/>
      <c r="G3" s="16"/>
      <c r="H3" s="17">
        <v>2</v>
      </c>
      <c r="I3" s="18"/>
      <c r="J3" s="18"/>
      <c r="K3" s="19"/>
      <c r="M3" s="64" t="s">
        <v>39</v>
      </c>
      <c r="N3" s="64" t="s">
        <v>40</v>
      </c>
      <c r="O3" s="64" t="s">
        <v>41</v>
      </c>
      <c r="P3" s="65" t="s">
        <v>42</v>
      </c>
      <c r="Q3" s="73" t="s">
        <v>43</v>
      </c>
      <c r="R3" s="64" t="s">
        <v>23</v>
      </c>
      <c r="S3" s="66"/>
    </row>
    <row r="4" spans="1:19" ht="12" customHeight="1" x14ac:dyDescent="0.25">
      <c r="A4" s="20" t="s">
        <v>12</v>
      </c>
      <c r="B4" s="21"/>
      <c r="C4" s="22"/>
      <c r="D4" s="14"/>
      <c r="E4" s="15"/>
      <c r="G4" s="15"/>
      <c r="I4" s="23"/>
      <c r="J4" s="18"/>
      <c r="K4" s="24"/>
      <c r="M4" s="62">
        <v>50000</v>
      </c>
      <c r="N4" s="62">
        <v>11500</v>
      </c>
      <c r="O4" s="62">
        <v>30000</v>
      </c>
      <c r="P4" s="70">
        <v>45000</v>
      </c>
      <c r="Q4" s="74">
        <f>30500+50000</f>
        <v>80500</v>
      </c>
      <c r="R4" s="62">
        <v>135000</v>
      </c>
      <c r="S4" s="67">
        <f>+D5-SUM(M4:R4)</f>
        <v>-352000</v>
      </c>
    </row>
    <row r="5" spans="1:19" ht="12" customHeight="1" x14ac:dyDescent="0.25">
      <c r="A5" s="11"/>
      <c r="B5" s="21"/>
      <c r="C5" s="22"/>
      <c r="D5" s="14"/>
      <c r="E5" s="15"/>
      <c r="G5" s="15"/>
      <c r="I5" s="23"/>
      <c r="J5" s="18"/>
      <c r="K5" s="24"/>
      <c r="M5" s="62"/>
      <c r="N5" s="62"/>
      <c r="O5" s="62"/>
      <c r="P5" s="71"/>
      <c r="Q5" s="74"/>
      <c r="R5" s="62"/>
      <c r="S5" s="22"/>
    </row>
    <row r="6" spans="1:19" ht="12" customHeight="1" x14ac:dyDescent="0.25">
      <c r="A6" s="48" t="s">
        <v>9</v>
      </c>
      <c r="B6" s="49">
        <v>44378</v>
      </c>
      <c r="C6" s="50">
        <v>44378</v>
      </c>
      <c r="D6" s="14">
        <v>0</v>
      </c>
      <c r="E6" s="15"/>
      <c r="F6" s="53">
        <f>DAYS360(B6,C6)+2</f>
        <v>2</v>
      </c>
      <c r="G6" s="15"/>
      <c r="H6" s="58">
        <v>1</v>
      </c>
      <c r="I6" s="23"/>
      <c r="J6" s="18">
        <f>+D6/360*F6*H6/100</f>
        <v>0</v>
      </c>
      <c r="K6" s="24"/>
      <c r="L6" s="3"/>
      <c r="M6" s="62"/>
      <c r="N6" s="62"/>
      <c r="O6" s="62"/>
      <c r="P6" s="71"/>
      <c r="Q6" s="74"/>
      <c r="R6" s="62"/>
      <c r="S6" s="22"/>
    </row>
    <row r="7" spans="1:19" ht="12" customHeight="1" x14ac:dyDescent="0.25">
      <c r="A7" s="48" t="s">
        <v>9</v>
      </c>
      <c r="B7" s="49">
        <v>44378</v>
      </c>
      <c r="C7" s="57">
        <v>44439</v>
      </c>
      <c r="D7" s="14">
        <v>352000</v>
      </c>
      <c r="E7" s="15"/>
      <c r="F7" s="53">
        <f>DAYS360(B7,C7)+3</f>
        <v>63</v>
      </c>
      <c r="G7" s="15"/>
      <c r="H7" s="58">
        <v>1</v>
      </c>
      <c r="I7" s="23"/>
      <c r="J7" s="18">
        <f>+D7/360*F7*H7/100</f>
        <v>616</v>
      </c>
      <c r="K7" s="24"/>
      <c r="L7" s="3"/>
      <c r="M7" s="62">
        <f>$J$7/$D$7*M4</f>
        <v>87.5</v>
      </c>
      <c r="N7" s="62">
        <f t="shared" ref="N7:Q7" si="0">$J$7/$D$7*N4</f>
        <v>20.125</v>
      </c>
      <c r="O7" s="62">
        <f t="shared" si="0"/>
        <v>52.5</v>
      </c>
      <c r="P7" s="71">
        <f t="shared" si="0"/>
        <v>78.75</v>
      </c>
      <c r="Q7" s="74">
        <f t="shared" si="0"/>
        <v>140.875</v>
      </c>
      <c r="R7" s="62">
        <f>$J$7/$D$7*R4-0.01</f>
        <v>236.24</v>
      </c>
      <c r="S7" s="68">
        <f>+J7-SUM(M7:R7)-0.01</f>
        <v>-9.0951551845463996E-15</v>
      </c>
    </row>
    <row r="8" spans="1:19" ht="12" customHeight="1" x14ac:dyDescent="0.25">
      <c r="A8" s="48"/>
      <c r="B8" s="59"/>
      <c r="C8" s="57"/>
      <c r="D8" s="14"/>
      <c r="E8" s="15"/>
      <c r="F8" s="53"/>
      <c r="G8" s="15"/>
      <c r="H8" s="58"/>
      <c r="I8" s="23"/>
      <c r="J8" s="18"/>
      <c r="K8" s="24"/>
      <c r="L8" s="3"/>
      <c r="M8" s="62"/>
      <c r="N8" s="62"/>
      <c r="O8" s="62"/>
      <c r="P8" s="71"/>
      <c r="Q8" s="74"/>
      <c r="R8" s="62"/>
      <c r="S8" s="22"/>
    </row>
    <row r="9" spans="1:19" ht="12" customHeight="1" x14ac:dyDescent="0.25">
      <c r="A9" s="48" t="s">
        <v>27</v>
      </c>
      <c r="B9" s="59"/>
      <c r="C9" s="57"/>
      <c r="D9" s="14"/>
      <c r="E9" s="15"/>
      <c r="F9" s="53"/>
      <c r="G9" s="15"/>
      <c r="H9" s="58"/>
      <c r="I9" s="18"/>
      <c r="J9" s="18"/>
      <c r="K9" s="24">
        <v>0</v>
      </c>
      <c r="M9" s="62"/>
      <c r="N9" s="62"/>
      <c r="O9" s="62"/>
      <c r="P9" s="71"/>
      <c r="Q9" s="74"/>
      <c r="R9" s="62"/>
      <c r="S9" s="22"/>
    </row>
    <row r="10" spans="1:19" ht="12" customHeight="1" x14ac:dyDescent="0.25">
      <c r="A10" s="48" t="s">
        <v>28</v>
      </c>
      <c r="B10" s="59"/>
      <c r="C10" s="57"/>
      <c r="D10" s="14"/>
      <c r="E10" s="15"/>
      <c r="F10" s="53"/>
      <c r="G10" s="15"/>
      <c r="H10" s="58"/>
      <c r="I10" s="18"/>
      <c r="J10" s="18"/>
      <c r="K10" s="24">
        <v>0</v>
      </c>
      <c r="M10" s="62"/>
      <c r="N10" s="62"/>
      <c r="O10" s="62"/>
      <c r="P10" s="71"/>
      <c r="Q10" s="74"/>
      <c r="R10" s="62"/>
      <c r="S10" s="22"/>
    </row>
    <row r="11" spans="1:19" ht="12" customHeight="1" x14ac:dyDescent="0.25">
      <c r="A11" s="11"/>
      <c r="B11" s="21"/>
      <c r="C11" s="22"/>
      <c r="D11" s="14"/>
      <c r="E11" s="15"/>
      <c r="G11" s="15"/>
      <c r="I11" s="18"/>
      <c r="J11" s="18"/>
      <c r="K11" s="25"/>
      <c r="M11" s="62">
        <v>50000</v>
      </c>
      <c r="N11" s="62">
        <v>11500</v>
      </c>
      <c r="O11" s="62">
        <v>30000</v>
      </c>
      <c r="P11" s="71">
        <v>45000</v>
      </c>
      <c r="Q11" s="74">
        <v>30500</v>
      </c>
      <c r="R11" s="62">
        <v>135000</v>
      </c>
      <c r="S11" s="68">
        <f>+D12-SUM(M11:R11)</f>
        <v>0</v>
      </c>
    </row>
    <row r="12" spans="1:19" ht="12" customHeight="1" x14ac:dyDescent="0.25">
      <c r="A12" s="48" t="s">
        <v>11</v>
      </c>
      <c r="B12" s="49">
        <v>44378</v>
      </c>
      <c r="C12" s="50">
        <v>44378</v>
      </c>
      <c r="D12" s="51">
        <v>302000</v>
      </c>
      <c r="E12" s="52">
        <f t="shared" ref="E12:E13" si="1">DAYS360(B12,C12)</f>
        <v>0</v>
      </c>
      <c r="F12" s="53">
        <f>SUM(IF(E12&lt;31,0,IF(E12&lt;46,1,IF(E12&lt;61,2,IF(E12&lt;76,3,4))))+E12)</f>
        <v>0</v>
      </c>
      <c r="G12" s="54">
        <f>2-$H$3</f>
        <v>0</v>
      </c>
      <c r="H12" s="55">
        <f t="shared" ref="H12:H13" si="2">+G12+$H$3</f>
        <v>2</v>
      </c>
      <c r="I12" s="18">
        <f t="shared" ref="I12:I13" si="3">+D12/360*F12*H12/100</f>
        <v>0</v>
      </c>
      <c r="J12" s="18"/>
      <c r="K12" s="25"/>
      <c r="L12" s="14"/>
      <c r="M12" s="62">
        <f t="shared" ref="M12:R12" si="4">$I$12/$D$12*M11</f>
        <v>0</v>
      </c>
      <c r="N12" s="62">
        <f t="shared" si="4"/>
        <v>0</v>
      </c>
      <c r="O12" s="62">
        <f t="shared" si="4"/>
        <v>0</v>
      </c>
      <c r="P12" s="71">
        <f t="shared" si="4"/>
        <v>0</v>
      </c>
      <c r="Q12" s="74">
        <f t="shared" si="4"/>
        <v>0</v>
      </c>
      <c r="R12" s="62">
        <f t="shared" si="4"/>
        <v>0</v>
      </c>
      <c r="S12" s="68">
        <f>+I12-SUM(M12:R12)</f>
        <v>0</v>
      </c>
    </row>
    <row r="13" spans="1:19" ht="12" customHeight="1" x14ac:dyDescent="0.25">
      <c r="A13" s="48" t="s">
        <v>26</v>
      </c>
      <c r="B13" s="49">
        <v>44378</v>
      </c>
      <c r="C13" s="50">
        <v>44378</v>
      </c>
      <c r="D13" s="51">
        <v>50000</v>
      </c>
      <c r="E13" s="52">
        <f t="shared" si="1"/>
        <v>0</v>
      </c>
      <c r="F13" s="53">
        <f>SUM(IF(E13&lt;31,0,IF(E13&lt;46,1,IF(E13&lt;61,2,IF(E13&lt;76,3,4))))+E13)</f>
        <v>0</v>
      </c>
      <c r="G13" s="54">
        <f>2-$H$3</f>
        <v>0</v>
      </c>
      <c r="H13" s="55">
        <f t="shared" si="2"/>
        <v>2</v>
      </c>
      <c r="I13" s="18">
        <f t="shared" si="3"/>
        <v>0</v>
      </c>
      <c r="J13" s="18"/>
      <c r="K13" s="25"/>
      <c r="L13" s="51"/>
      <c r="M13" s="62"/>
      <c r="N13" s="62"/>
      <c r="O13" s="62"/>
      <c r="P13" s="71"/>
      <c r="Q13" s="74">
        <f>+I13</f>
        <v>0</v>
      </c>
      <c r="R13" s="62"/>
      <c r="S13" s="22"/>
    </row>
    <row r="14" spans="1:19" ht="12" customHeight="1" x14ac:dyDescent="0.25">
      <c r="A14" s="48"/>
      <c r="B14" s="49"/>
      <c r="C14" s="50"/>
      <c r="D14" s="51"/>
      <c r="E14" s="52"/>
      <c r="F14" s="53"/>
      <c r="G14" s="54"/>
      <c r="H14" s="55"/>
      <c r="I14" s="18"/>
      <c r="J14" s="18"/>
      <c r="K14" s="25"/>
      <c r="L14" s="14"/>
      <c r="M14" s="62">
        <f>+M11</f>
        <v>50000</v>
      </c>
      <c r="N14" s="62">
        <f>+N11</f>
        <v>11500</v>
      </c>
      <c r="O14" s="62">
        <f>+O11</f>
        <v>30000</v>
      </c>
      <c r="P14" s="71">
        <f>+P11</f>
        <v>45000</v>
      </c>
      <c r="Q14" s="74">
        <f>+Q11+D13</f>
        <v>80500</v>
      </c>
      <c r="R14" s="62">
        <f>+R11</f>
        <v>135000</v>
      </c>
      <c r="S14" s="68">
        <f>+D15-SUM(M14:R14)</f>
        <v>0</v>
      </c>
    </row>
    <row r="15" spans="1:19" ht="12" customHeight="1" x14ac:dyDescent="0.25">
      <c r="A15" s="48" t="s">
        <v>11</v>
      </c>
      <c r="B15" s="49">
        <v>44378</v>
      </c>
      <c r="C15" s="50">
        <v>44378</v>
      </c>
      <c r="D15" s="51">
        <f>SUM(D12:D14)</f>
        <v>352000</v>
      </c>
      <c r="E15" s="52">
        <f t="shared" ref="E15:E16" si="5">DAYS360(B15,C15)</f>
        <v>0</v>
      </c>
      <c r="F15" s="53">
        <f>SUM(IF(E15&lt;31,0,IF(E15&lt;46,1,IF(E15&lt;61,2,IF(E15&lt;76,3,4))))+E15)</f>
        <v>0</v>
      </c>
      <c r="G15" s="54">
        <f>2-$H$3</f>
        <v>0</v>
      </c>
      <c r="H15" s="55">
        <f t="shared" ref="H15:H16" si="6">+G15+$H$3</f>
        <v>2</v>
      </c>
      <c r="I15" s="18">
        <f t="shared" ref="I15:I16" si="7">+D15/360*F15*H15/100</f>
        <v>0</v>
      </c>
      <c r="J15" s="18"/>
      <c r="K15" s="25"/>
      <c r="L15" s="14"/>
      <c r="M15" s="62">
        <f t="shared" ref="M15:R15" si="8">$I$15/$D$15*M14</f>
        <v>0</v>
      </c>
      <c r="N15" s="62">
        <f t="shared" si="8"/>
        <v>0</v>
      </c>
      <c r="O15" s="62">
        <f t="shared" si="8"/>
        <v>0</v>
      </c>
      <c r="P15" s="71">
        <f t="shared" si="8"/>
        <v>0</v>
      </c>
      <c r="Q15" s="74">
        <f t="shared" si="8"/>
        <v>0</v>
      </c>
      <c r="R15" s="62">
        <f t="shared" si="8"/>
        <v>0</v>
      </c>
      <c r="S15" s="68">
        <f>+I15-SUM(M15:R15)</f>
        <v>0</v>
      </c>
    </row>
    <row r="16" spans="1:19" ht="12" customHeight="1" x14ac:dyDescent="0.25">
      <c r="A16" s="48" t="s">
        <v>29</v>
      </c>
      <c r="B16" s="49">
        <v>44378</v>
      </c>
      <c r="C16" s="50">
        <v>44378</v>
      </c>
      <c r="D16" s="51">
        <v>-135000</v>
      </c>
      <c r="E16" s="52">
        <f t="shared" si="5"/>
        <v>0</v>
      </c>
      <c r="F16" s="53">
        <f>SUM(IF(E16&lt;31,0,IF(E16&lt;46,1,IF(E16&lt;61,2,IF(E16&lt;76,3,4))))+E16)</f>
        <v>0</v>
      </c>
      <c r="G16" s="54">
        <f>2-$H$3</f>
        <v>0</v>
      </c>
      <c r="H16" s="55">
        <f t="shared" si="6"/>
        <v>2</v>
      </c>
      <c r="I16" s="18">
        <f t="shared" si="7"/>
        <v>0</v>
      </c>
      <c r="J16" s="18"/>
      <c r="K16" s="25"/>
      <c r="L16" s="14"/>
      <c r="M16" s="62"/>
      <c r="N16" s="62"/>
      <c r="O16" s="62"/>
      <c r="P16" s="71"/>
      <c r="Q16" s="74"/>
      <c r="R16" s="62">
        <f>+I16</f>
        <v>0</v>
      </c>
      <c r="S16" s="22"/>
    </row>
    <row r="17" spans="1:19" ht="12" customHeight="1" thickBot="1" x14ac:dyDescent="0.3">
      <c r="A17" s="26"/>
      <c r="B17" s="27"/>
      <c r="C17" s="28"/>
      <c r="D17" s="29"/>
      <c r="E17" s="30"/>
      <c r="F17" s="31"/>
      <c r="G17" s="30"/>
      <c r="H17" s="31"/>
      <c r="I17" s="32"/>
      <c r="J17" s="32"/>
      <c r="K17" s="33"/>
      <c r="M17" s="63"/>
      <c r="N17" s="63"/>
      <c r="O17" s="63"/>
      <c r="P17" s="72"/>
      <c r="Q17" s="75"/>
      <c r="R17" s="63"/>
      <c r="S17" s="69"/>
    </row>
    <row r="18" spans="1:19" s="42" customFormat="1" ht="24" customHeight="1" thickBot="1" x14ac:dyDescent="0.3">
      <c r="A18" s="34" t="s">
        <v>10</v>
      </c>
      <c r="B18" s="35"/>
      <c r="C18" s="36"/>
      <c r="D18" s="37">
        <f>SUM(D15:D17)</f>
        <v>217000</v>
      </c>
      <c r="E18" s="38"/>
      <c r="F18" s="39"/>
      <c r="G18" s="38"/>
      <c r="H18" s="38"/>
      <c r="I18" s="114">
        <f>SUM(I3:I17)</f>
        <v>0</v>
      </c>
      <c r="J18" s="115">
        <f>SUM(J3:J17)</f>
        <v>616</v>
      </c>
      <c r="K18" s="41">
        <f>SUM(K3:K17)</f>
        <v>0</v>
      </c>
      <c r="M18" s="61"/>
      <c r="N18" s="61"/>
      <c r="O18" s="61"/>
      <c r="P18" s="61"/>
      <c r="Q18" s="61"/>
      <c r="R18" s="61"/>
    </row>
    <row r="19" spans="1:19" s="42" customFormat="1" ht="24" customHeight="1" thickBot="1" x14ac:dyDescent="0.3">
      <c r="A19" s="43"/>
      <c r="B19" s="44"/>
      <c r="C19" s="44"/>
      <c r="D19" s="45"/>
      <c r="E19" s="44"/>
      <c r="F19" s="44"/>
      <c r="G19" s="44"/>
      <c r="H19" s="46"/>
      <c r="I19" s="129">
        <f>+I18+J18</f>
        <v>616</v>
      </c>
      <c r="J19" s="130"/>
      <c r="K19" s="47"/>
      <c r="M19" s="61"/>
      <c r="N19" s="61"/>
      <c r="O19" s="61"/>
      <c r="P19" s="61"/>
      <c r="Q19" s="61"/>
      <c r="R19" s="61"/>
    </row>
    <row r="21" spans="1:19" ht="12" customHeight="1" thickBot="1" x14ac:dyDescent="0.3">
      <c r="A21" s="56"/>
      <c r="B21" s="56"/>
      <c r="D21" s="14"/>
      <c r="E21" s="56"/>
      <c r="I21" s="3"/>
    </row>
    <row r="22" spans="1:19" ht="12" customHeight="1" x14ac:dyDescent="0.25">
      <c r="H22" s="107" t="s">
        <v>37</v>
      </c>
      <c r="I22" s="108">
        <v>486000</v>
      </c>
      <c r="J22" s="109">
        <v>486000</v>
      </c>
      <c r="K22" s="113"/>
    </row>
    <row r="23" spans="1:19" ht="12" customHeight="1" thickBot="1" x14ac:dyDescent="0.3">
      <c r="H23" s="110" t="s">
        <v>38</v>
      </c>
      <c r="I23" s="111">
        <v>661102</v>
      </c>
      <c r="J23" s="112">
        <v>661102</v>
      </c>
      <c r="K23" s="113"/>
    </row>
    <row r="24" spans="1:19" ht="12" customHeight="1" x14ac:dyDescent="0.25">
      <c r="I24" s="3"/>
    </row>
    <row r="25" spans="1:19" ht="12" customHeight="1" x14ac:dyDescent="0.25">
      <c r="I25" s="14"/>
    </row>
    <row r="26" spans="1:19" ht="12" customHeight="1" x14ac:dyDescent="0.25">
      <c r="I26" s="3"/>
    </row>
    <row r="27" spans="1:19" ht="12" customHeight="1" x14ac:dyDescent="0.25">
      <c r="I27" s="3"/>
    </row>
    <row r="28" spans="1:19" ht="12" customHeight="1" x14ac:dyDescent="0.25">
      <c r="I28" s="3"/>
      <c r="Q28" s="3"/>
    </row>
  </sheetData>
  <mergeCells count="2">
    <mergeCell ref="B2:C2"/>
    <mergeCell ref="I19:J19"/>
  </mergeCells>
  <printOptions horizontalCentered="1"/>
  <pageMargins left="0.15748031496062992" right="0.15748031496062992" top="0.86614173228346458" bottom="0.47244094488188981" header="0.43307086614173229" footer="0.23622047244094491"/>
  <pageSetup paperSize="9" scale="82" orientation="landscape" r:id="rId1"/>
  <headerFooter alignWithMargins="0">
    <oddHeader>&amp;L&amp;"Arial,Gras"&amp;12CHIFOUMI PRODUCTIONS&amp;C&amp;"Arial,Gras"&amp;14COFILOISIRS - DEVELOPPEMENT</oddHeader>
    <oddFooter>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B84EC-F036-4BA2-AF72-E3DA15AE85C4}">
  <sheetPr>
    <pageSetUpPr fitToPage="1"/>
  </sheetPr>
  <dimension ref="A1:S26"/>
  <sheetViews>
    <sheetView zoomScaleNormal="100" workbookViewId="0">
      <selection activeCell="F8" sqref="F8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9.6640625" style="1" customWidth="1"/>
    <col min="10" max="11" width="9.6640625" style="3" customWidth="1"/>
    <col min="12" max="12" width="1.6640625" style="1" customWidth="1"/>
    <col min="13" max="17" width="9.6640625" style="1" customWidth="1"/>
    <col min="18" max="19" width="10.6640625" style="1" customWidth="1"/>
    <col min="20" max="16384" width="11.5546875" style="1"/>
  </cols>
  <sheetData>
    <row r="1" spans="1:19" ht="12" customHeight="1" thickBot="1" x14ac:dyDescent="0.3"/>
    <row r="2" spans="1:19" s="60" customFormat="1" ht="24" customHeight="1" thickBot="1" x14ac:dyDescent="0.3">
      <c r="A2" s="4" t="s">
        <v>36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  <c r="M2" s="76" t="s">
        <v>13</v>
      </c>
      <c r="N2" s="76" t="s">
        <v>14</v>
      </c>
      <c r="O2" s="76" t="s">
        <v>15</v>
      </c>
      <c r="P2" s="77" t="s">
        <v>16</v>
      </c>
      <c r="Q2" s="78" t="s">
        <v>17</v>
      </c>
      <c r="R2" s="76" t="s">
        <v>18</v>
      </c>
      <c r="S2" s="79" t="s">
        <v>24</v>
      </c>
    </row>
    <row r="3" spans="1:19" ht="12" customHeight="1" x14ac:dyDescent="0.25">
      <c r="A3" s="11"/>
      <c r="B3" s="12"/>
      <c r="C3" s="13"/>
      <c r="D3" s="14"/>
      <c r="E3" s="15"/>
      <c r="G3" s="16"/>
      <c r="H3" s="17">
        <v>2</v>
      </c>
      <c r="I3" s="18"/>
      <c r="J3" s="18"/>
      <c r="K3" s="19"/>
      <c r="M3" s="64" t="s">
        <v>19</v>
      </c>
      <c r="N3" s="64" t="s">
        <v>20</v>
      </c>
      <c r="O3" s="64" t="s">
        <v>21</v>
      </c>
      <c r="P3" s="65" t="s">
        <v>22</v>
      </c>
      <c r="Q3" s="73" t="s">
        <v>25</v>
      </c>
      <c r="R3" s="64" t="s">
        <v>23</v>
      </c>
      <c r="S3" s="66"/>
    </row>
    <row r="4" spans="1:19" ht="12" customHeight="1" x14ac:dyDescent="0.25">
      <c r="A4" s="20" t="s">
        <v>12</v>
      </c>
      <c r="B4" s="21"/>
      <c r="C4" s="22"/>
      <c r="D4" s="14"/>
      <c r="E4" s="15"/>
      <c r="G4" s="15"/>
      <c r="I4" s="23"/>
      <c r="J4" s="18"/>
      <c r="K4" s="24"/>
      <c r="M4" s="62">
        <v>50000</v>
      </c>
      <c r="N4" s="62">
        <v>11500</v>
      </c>
      <c r="O4" s="62">
        <v>30000</v>
      </c>
      <c r="P4" s="70">
        <v>45000</v>
      </c>
      <c r="Q4" s="74">
        <f>30500+50000</f>
        <v>80500</v>
      </c>
      <c r="R4" s="62">
        <v>135000</v>
      </c>
      <c r="S4" s="67">
        <f>+D5-SUM(M4:R4)</f>
        <v>-352000</v>
      </c>
    </row>
    <row r="5" spans="1:19" ht="12" customHeight="1" x14ac:dyDescent="0.25">
      <c r="A5" s="11"/>
      <c r="B5" s="21"/>
      <c r="C5" s="22"/>
      <c r="D5" s="14"/>
      <c r="E5" s="15"/>
      <c r="G5" s="15"/>
      <c r="I5" s="23"/>
      <c r="J5" s="18"/>
      <c r="K5" s="24"/>
      <c r="M5" s="62"/>
      <c r="N5" s="62"/>
      <c r="O5" s="62"/>
      <c r="P5" s="71"/>
      <c r="Q5" s="74"/>
      <c r="R5" s="62"/>
      <c r="S5" s="22"/>
    </row>
    <row r="6" spans="1:19" ht="12" customHeight="1" x14ac:dyDescent="0.25">
      <c r="A6" s="48" t="s">
        <v>9</v>
      </c>
      <c r="B6" s="49">
        <v>44197</v>
      </c>
      <c r="C6" s="57">
        <v>44285</v>
      </c>
      <c r="D6" s="14">
        <v>0</v>
      </c>
      <c r="E6" s="15"/>
      <c r="F6" s="53">
        <f>DAYS360(B6,C6)+2</f>
        <v>91</v>
      </c>
      <c r="G6" s="15"/>
      <c r="H6" s="58">
        <v>1</v>
      </c>
      <c r="I6" s="23"/>
      <c r="J6" s="18">
        <f>+D6/360*F6*H6/100</f>
        <v>0</v>
      </c>
      <c r="K6" s="24"/>
      <c r="L6" s="3"/>
      <c r="M6" s="62"/>
      <c r="N6" s="62"/>
      <c r="O6" s="62"/>
      <c r="P6" s="71"/>
      <c r="Q6" s="74"/>
      <c r="R6" s="62"/>
      <c r="S6" s="22"/>
    </row>
    <row r="7" spans="1:19" ht="12" customHeight="1" x14ac:dyDescent="0.25">
      <c r="A7" s="48" t="s">
        <v>9</v>
      </c>
      <c r="B7" s="49">
        <v>44286</v>
      </c>
      <c r="C7" s="50">
        <v>44377</v>
      </c>
      <c r="D7" s="14">
        <v>352000</v>
      </c>
      <c r="E7" s="15"/>
      <c r="F7" s="53">
        <f>DAYS360(B7,C7)</f>
        <v>90</v>
      </c>
      <c r="G7" s="15"/>
      <c r="H7" s="58">
        <v>1</v>
      </c>
      <c r="I7" s="23"/>
      <c r="J7" s="18">
        <f>+D7/360*F7*H7/100</f>
        <v>880</v>
      </c>
      <c r="K7" s="24"/>
      <c r="L7" s="3"/>
      <c r="M7" s="62">
        <f>$J$7/$D$7*M4</f>
        <v>125</v>
      </c>
      <c r="N7" s="62">
        <f t="shared" ref="N7:Q7" si="0">$J$7/$D$7*N4</f>
        <v>28.75</v>
      </c>
      <c r="O7" s="62">
        <f t="shared" si="0"/>
        <v>75</v>
      </c>
      <c r="P7" s="71">
        <f t="shared" si="0"/>
        <v>112.5</v>
      </c>
      <c r="Q7" s="74">
        <f t="shared" si="0"/>
        <v>201.25</v>
      </c>
      <c r="R7" s="62">
        <f>$J$7/$D$7*R4-0.01</f>
        <v>337.49</v>
      </c>
      <c r="S7" s="68">
        <f>+J7-SUM(M7:R7)-0.01</f>
        <v>-9.0951551845463996E-15</v>
      </c>
    </row>
    <row r="8" spans="1:19" ht="12" customHeight="1" x14ac:dyDescent="0.25">
      <c r="A8" s="48"/>
      <c r="B8" s="59"/>
      <c r="C8" s="57"/>
      <c r="D8" s="14"/>
      <c r="E8" s="15"/>
      <c r="F8" s="53"/>
      <c r="G8" s="15"/>
      <c r="H8" s="58"/>
      <c r="I8" s="23"/>
      <c r="J8" s="18"/>
      <c r="K8" s="24"/>
      <c r="L8" s="3"/>
      <c r="M8" s="62"/>
      <c r="N8" s="62"/>
      <c r="O8" s="62"/>
      <c r="P8" s="71"/>
      <c r="Q8" s="74"/>
      <c r="R8" s="62"/>
      <c r="S8" s="22"/>
    </row>
    <row r="9" spans="1:19" ht="12" customHeight="1" x14ac:dyDescent="0.25">
      <c r="A9" s="48" t="s">
        <v>27</v>
      </c>
      <c r="B9" s="59"/>
      <c r="C9" s="57"/>
      <c r="D9" s="14"/>
      <c r="E9" s="15"/>
      <c r="F9" s="53"/>
      <c r="G9" s="15"/>
      <c r="H9" s="58"/>
      <c r="I9" s="18"/>
      <c r="J9" s="18"/>
      <c r="K9" s="24">
        <v>120</v>
      </c>
      <c r="M9" s="62"/>
      <c r="N9" s="62"/>
      <c r="O9" s="62"/>
      <c r="P9" s="71"/>
      <c r="Q9" s="74"/>
      <c r="R9" s="62"/>
      <c r="S9" s="22"/>
    </row>
    <row r="10" spans="1:19" ht="12" customHeight="1" x14ac:dyDescent="0.25">
      <c r="A10" s="48" t="s">
        <v>28</v>
      </c>
      <c r="B10" s="59"/>
      <c r="C10" s="57"/>
      <c r="D10" s="14"/>
      <c r="E10" s="15"/>
      <c r="F10" s="53"/>
      <c r="G10" s="15"/>
      <c r="H10" s="58"/>
      <c r="I10" s="18"/>
      <c r="J10" s="18"/>
      <c r="K10" s="24">
        <v>500</v>
      </c>
      <c r="M10" s="62"/>
      <c r="N10" s="62"/>
      <c r="O10" s="62"/>
      <c r="P10" s="71"/>
      <c r="Q10" s="74"/>
      <c r="R10" s="62"/>
      <c r="S10" s="22"/>
    </row>
    <row r="11" spans="1:19" ht="12" customHeight="1" x14ac:dyDescent="0.25">
      <c r="A11" s="11"/>
      <c r="B11" s="21"/>
      <c r="C11" s="22"/>
      <c r="D11" s="14"/>
      <c r="E11" s="15"/>
      <c r="G11" s="15"/>
      <c r="I11" s="18"/>
      <c r="J11" s="18"/>
      <c r="K11" s="25"/>
      <c r="M11" s="62">
        <v>50000</v>
      </c>
      <c r="N11" s="62">
        <v>11500</v>
      </c>
      <c r="O11" s="62">
        <v>30000</v>
      </c>
      <c r="P11" s="71">
        <v>45000</v>
      </c>
      <c r="Q11" s="74">
        <v>30500</v>
      </c>
      <c r="R11" s="62">
        <v>135000</v>
      </c>
      <c r="S11" s="68">
        <f>+D12-SUM(M11:R11)</f>
        <v>0</v>
      </c>
    </row>
    <row r="12" spans="1:19" ht="12" customHeight="1" x14ac:dyDescent="0.25">
      <c r="A12" s="48" t="s">
        <v>11</v>
      </c>
      <c r="B12" s="49">
        <v>44197</v>
      </c>
      <c r="C12" s="50">
        <v>44286</v>
      </c>
      <c r="D12" s="51">
        <v>302000</v>
      </c>
      <c r="E12" s="52">
        <f t="shared" ref="E12:E13" si="1">DAYS360(B12,C12)</f>
        <v>90</v>
      </c>
      <c r="F12" s="53">
        <f>SUM(IF(E12&lt;31,0,IF(E12&lt;46,1,IF(E12&lt;61,2,IF(E12&lt;76,3,4))))+E12)</f>
        <v>94</v>
      </c>
      <c r="G12" s="54">
        <f>2-$H$3</f>
        <v>0</v>
      </c>
      <c r="H12" s="55">
        <f t="shared" ref="H12:H13" si="2">+G12+$H$3</f>
        <v>2</v>
      </c>
      <c r="I12" s="18">
        <f t="shared" ref="I12:I13" si="3">+D12/360*F12*H12/100</f>
        <v>1577.1111111111113</v>
      </c>
      <c r="J12" s="18"/>
      <c r="K12" s="25"/>
      <c r="L12" s="14"/>
      <c r="M12" s="62">
        <f>$I$12/$D$12*M11+0.06</f>
        <v>261.17111111111114</v>
      </c>
      <c r="N12" s="62">
        <f>$I$12/$D$12*N11+0.03</f>
        <v>60.085555555555565</v>
      </c>
      <c r="O12" s="62">
        <f>$I$12/$D$12*O11-0.06</f>
        <v>156.60666666666668</v>
      </c>
      <c r="P12" s="71">
        <f>$I$12/$D$12*P11-0.01</f>
        <v>234.99000000000004</v>
      </c>
      <c r="Q12" s="74">
        <f>$I$12/$D$12*Q11+0.01</f>
        <v>159.28777777777779</v>
      </c>
      <c r="R12" s="62">
        <f>$I$12/$D$12*R11-0.04</f>
        <v>704.96000000000015</v>
      </c>
      <c r="S12" s="68">
        <f>+I12-SUM(M12:R12)-0.01</f>
        <v>-2.3646883062777846E-13</v>
      </c>
    </row>
    <row r="13" spans="1:19" ht="12" customHeight="1" x14ac:dyDescent="0.25">
      <c r="A13" s="48" t="s">
        <v>26</v>
      </c>
      <c r="B13" s="49">
        <v>44225</v>
      </c>
      <c r="C13" s="50">
        <v>44286</v>
      </c>
      <c r="D13" s="51">
        <v>50000</v>
      </c>
      <c r="E13" s="52">
        <f t="shared" si="1"/>
        <v>62</v>
      </c>
      <c r="F13" s="53">
        <f>SUM(IF(E13&lt;31,0,IF(E13&lt;46,1,IF(E13&lt;61,2,IF(E13&lt;76,3,4))))+E13)-1</f>
        <v>64</v>
      </c>
      <c r="G13" s="54">
        <f>2-$H$3</f>
        <v>0</v>
      </c>
      <c r="H13" s="55">
        <f t="shared" si="2"/>
        <v>2</v>
      </c>
      <c r="I13" s="18">
        <f t="shared" si="3"/>
        <v>177.77777777777777</v>
      </c>
      <c r="J13" s="18"/>
      <c r="K13" s="25"/>
      <c r="L13" s="51"/>
      <c r="M13" s="62"/>
      <c r="N13" s="62"/>
      <c r="O13" s="62"/>
      <c r="P13" s="71"/>
      <c r="Q13" s="74">
        <f>+I13</f>
        <v>177.77777777777777</v>
      </c>
      <c r="R13" s="62"/>
      <c r="S13" s="22"/>
    </row>
    <row r="14" spans="1:19" ht="12" customHeight="1" x14ac:dyDescent="0.25">
      <c r="A14" s="48"/>
      <c r="B14" s="49"/>
      <c r="C14" s="50"/>
      <c r="D14" s="51"/>
      <c r="E14" s="52"/>
      <c r="F14" s="53"/>
      <c r="G14" s="54"/>
      <c r="H14" s="55"/>
      <c r="I14" s="18"/>
      <c r="J14" s="18"/>
      <c r="K14" s="25"/>
      <c r="L14" s="14"/>
      <c r="M14" s="62">
        <f>+M11</f>
        <v>50000</v>
      </c>
      <c r="N14" s="62">
        <f>+N11</f>
        <v>11500</v>
      </c>
      <c r="O14" s="62">
        <f>+O11</f>
        <v>30000</v>
      </c>
      <c r="P14" s="71">
        <f>+P11</f>
        <v>45000</v>
      </c>
      <c r="Q14" s="74">
        <f>+Q11+D13</f>
        <v>80500</v>
      </c>
      <c r="R14" s="62">
        <f>+R11</f>
        <v>135000</v>
      </c>
      <c r="S14" s="68">
        <f>+D15-SUM(M14:R14)</f>
        <v>0</v>
      </c>
    </row>
    <row r="15" spans="1:19" ht="12" customHeight="1" x14ac:dyDescent="0.25">
      <c r="A15" s="48" t="s">
        <v>11</v>
      </c>
      <c r="B15" s="49">
        <v>44286</v>
      </c>
      <c r="C15" s="50">
        <v>44377</v>
      </c>
      <c r="D15" s="51">
        <f>SUM(D12:D14)</f>
        <v>352000</v>
      </c>
      <c r="E15" s="52">
        <f t="shared" ref="E15:E16" si="4">DAYS360(B15,C15)</f>
        <v>90</v>
      </c>
      <c r="F15" s="53">
        <f>SUM(IF(E15&lt;31,0,IF(E15&lt;46,1,IF(E15&lt;61,2,IF(E15&lt;76,3,4))))+E15)+1</f>
        <v>95</v>
      </c>
      <c r="G15" s="54">
        <f>2-$H$3</f>
        <v>0</v>
      </c>
      <c r="H15" s="55">
        <f t="shared" ref="H15:H16" si="5">+G15+$H$3</f>
        <v>2</v>
      </c>
      <c r="I15" s="18">
        <f t="shared" ref="I15:I16" si="6">+D15/360*F15*H15/100</f>
        <v>1857.7777777777778</v>
      </c>
      <c r="J15" s="18"/>
      <c r="K15" s="25"/>
      <c r="L15" s="14"/>
      <c r="M15" s="62">
        <f>$I$15/$D$15*M14-0.15</f>
        <v>263.73888888888894</v>
      </c>
      <c r="N15" s="62">
        <f>$I$15/$D$15*N14+0.1</f>
        <v>60.794444444444444</v>
      </c>
      <c r="O15" s="62">
        <f>$I$15/$D$15*O14-0.09</f>
        <v>158.24333333333334</v>
      </c>
      <c r="P15" s="71">
        <f>$I$15/$D$15*P14+0.21</f>
        <v>237.71</v>
      </c>
      <c r="Q15" s="74">
        <f>$I$15/$D$15*Q14+0.01</f>
        <v>424.87111111111113</v>
      </c>
      <c r="R15" s="62">
        <f>$I$15/$D$15*R14-0.07</f>
        <v>712.43</v>
      </c>
      <c r="S15" s="68">
        <f>+I15-SUM(M15:R15)+0.01</f>
        <v>2.3646883062777846E-13</v>
      </c>
    </row>
    <row r="16" spans="1:19" ht="12" customHeight="1" x14ac:dyDescent="0.25">
      <c r="A16" s="48" t="s">
        <v>29</v>
      </c>
      <c r="B16" s="49">
        <v>44348</v>
      </c>
      <c r="C16" s="50">
        <v>44377</v>
      </c>
      <c r="D16" s="51">
        <v>-135000</v>
      </c>
      <c r="E16" s="52">
        <f t="shared" si="4"/>
        <v>29</v>
      </c>
      <c r="F16" s="53">
        <f>SUM(IF(E16&lt;31,0,IF(E16&lt;46,1,IF(E16&lt;61,2,IF(E16&lt;76,3,4))))+E16)</f>
        <v>29</v>
      </c>
      <c r="G16" s="54">
        <f>2-$H$3</f>
        <v>0</v>
      </c>
      <c r="H16" s="55">
        <f t="shared" si="5"/>
        <v>2</v>
      </c>
      <c r="I16" s="18">
        <f t="shared" si="6"/>
        <v>-217.5</v>
      </c>
      <c r="J16" s="18"/>
      <c r="K16" s="25"/>
      <c r="L16" s="14"/>
      <c r="M16" s="62"/>
      <c r="N16" s="62"/>
      <c r="O16" s="62"/>
      <c r="P16" s="71"/>
      <c r="Q16" s="74"/>
      <c r="R16" s="62">
        <f>+I16</f>
        <v>-217.5</v>
      </c>
      <c r="S16" s="22"/>
    </row>
    <row r="17" spans="1:19" ht="12" customHeight="1" thickBot="1" x14ac:dyDescent="0.3">
      <c r="A17" s="26"/>
      <c r="B17" s="27"/>
      <c r="C17" s="28"/>
      <c r="D17" s="29"/>
      <c r="E17" s="30"/>
      <c r="F17" s="31"/>
      <c r="G17" s="30"/>
      <c r="H17" s="31"/>
      <c r="I17" s="32"/>
      <c r="J17" s="32"/>
      <c r="K17" s="33"/>
      <c r="M17" s="63"/>
      <c r="N17" s="63"/>
      <c r="O17" s="63"/>
      <c r="P17" s="72"/>
      <c r="Q17" s="75"/>
      <c r="R17" s="63"/>
      <c r="S17" s="69"/>
    </row>
    <row r="18" spans="1:19" s="42" customFormat="1" ht="24" customHeight="1" thickBot="1" x14ac:dyDescent="0.3">
      <c r="A18" s="34" t="s">
        <v>10</v>
      </c>
      <c r="B18" s="35"/>
      <c r="C18" s="36"/>
      <c r="D18" s="37">
        <f>SUM(D15:D17)</f>
        <v>217000</v>
      </c>
      <c r="E18" s="38"/>
      <c r="F18" s="39"/>
      <c r="G18" s="38"/>
      <c r="H18" s="38"/>
      <c r="I18" s="40">
        <f>SUM(I3:I17)+0.01</f>
        <v>3395.1766666666672</v>
      </c>
      <c r="J18" s="40">
        <f>SUM(J3:J17)</f>
        <v>880</v>
      </c>
      <c r="K18" s="41">
        <f>SUM(K3:K17)</f>
        <v>620</v>
      </c>
      <c r="M18" s="61"/>
      <c r="N18" s="61"/>
      <c r="O18" s="61"/>
      <c r="P18" s="61"/>
      <c r="Q18" s="61"/>
      <c r="R18" s="61"/>
    </row>
    <row r="19" spans="1:19" s="42" customFormat="1" ht="24" customHeight="1" thickBot="1" x14ac:dyDescent="0.3">
      <c r="A19" s="43"/>
      <c r="B19" s="44"/>
      <c r="C19" s="44"/>
      <c r="D19" s="45"/>
      <c r="E19" s="44"/>
      <c r="F19" s="44"/>
      <c r="G19" s="44"/>
      <c r="H19" s="46"/>
      <c r="I19" s="129">
        <f>+I18+J18</f>
        <v>4275.1766666666672</v>
      </c>
      <c r="J19" s="130"/>
      <c r="K19" s="47"/>
      <c r="M19" s="61"/>
      <c r="N19" s="61"/>
      <c r="O19" s="61"/>
      <c r="P19" s="61"/>
      <c r="Q19" s="61"/>
      <c r="R19" s="61"/>
    </row>
    <row r="21" spans="1:19" ht="12" customHeight="1" x14ac:dyDescent="0.25">
      <c r="A21" s="56"/>
      <c r="B21" s="56"/>
      <c r="D21" s="14"/>
      <c r="E21" s="56"/>
      <c r="I21" s="3"/>
    </row>
    <row r="22" spans="1:19" ht="12" customHeight="1" x14ac:dyDescent="0.25">
      <c r="I22" s="3">
        <f>+'2021'!I26-'BILAN 30.06.2021'!I18-I18</f>
        <v>3062.1111111111122</v>
      </c>
      <c r="J22" s="3">
        <f>+'2021'!J26-'BILAN 30.06.2021'!J18-J18</f>
        <v>1091.0277777777778</v>
      </c>
      <c r="K22" s="3">
        <f>+'2021'!K26-'BILAN 30.06.2021'!K18-K18</f>
        <v>0</v>
      </c>
    </row>
    <row r="23" spans="1:19" ht="12" customHeight="1" x14ac:dyDescent="0.25">
      <c r="I23" s="14"/>
    </row>
    <row r="24" spans="1:19" ht="12" customHeight="1" x14ac:dyDescent="0.25">
      <c r="I24" s="3"/>
    </row>
    <row r="25" spans="1:19" ht="12" customHeight="1" x14ac:dyDescent="0.25">
      <c r="I25" s="3"/>
    </row>
    <row r="26" spans="1:19" ht="12" customHeight="1" x14ac:dyDescent="0.25">
      <c r="I26" s="3"/>
      <c r="Q26" s="3"/>
    </row>
  </sheetData>
  <mergeCells count="2">
    <mergeCell ref="B2:C2"/>
    <mergeCell ref="I19:J19"/>
  </mergeCells>
  <printOptions horizontalCentered="1"/>
  <pageMargins left="0.15748031496062992" right="0.15748031496062992" top="0.86614173228346458" bottom="0.47244094488188981" header="0.43307086614173229" footer="0.23622047244094491"/>
  <pageSetup paperSize="9" scale="82" orientation="landscape" r:id="rId1"/>
  <headerFooter alignWithMargins="0">
    <oddHeader>&amp;L&amp;"Arial,Gras"&amp;12CHIFOUMI PRODUCTIONS&amp;C&amp;"Arial,Gras"&amp;14COFILOISIRS - DEVELOPPEMENT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DC5CF-33DF-49FF-BF32-DECD054EA655}">
  <sheetPr>
    <pageSetUpPr fitToPage="1"/>
  </sheetPr>
  <dimension ref="A1:L29"/>
  <sheetViews>
    <sheetView tabSelected="1" topLeftCell="A6" zoomScale="120" zoomScaleNormal="120" workbookViewId="0">
      <selection activeCell="D23" sqref="D23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10.109375" style="1" bestFit="1" customWidth="1"/>
    <col min="10" max="11" width="9.6640625" style="3" customWidth="1"/>
    <col min="12" max="12" width="1.6640625" style="1" customWidth="1"/>
    <col min="13" max="16384" width="11.5546875" style="1"/>
  </cols>
  <sheetData>
    <row r="1" spans="1:12" ht="12" customHeight="1" thickBot="1" x14ac:dyDescent="0.3"/>
    <row r="2" spans="1:12" s="60" customFormat="1" ht="24" customHeight="1" thickBot="1" x14ac:dyDescent="0.3">
      <c r="A2" s="4" t="s">
        <v>54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</row>
    <row r="3" spans="1:12" ht="12" customHeight="1" x14ac:dyDescent="0.25">
      <c r="A3" s="20"/>
      <c r="B3" s="21"/>
      <c r="C3" s="22"/>
      <c r="D3" s="14"/>
      <c r="E3" s="15"/>
      <c r="G3" s="15"/>
      <c r="H3" s="80"/>
      <c r="I3" s="23"/>
      <c r="J3" s="18"/>
      <c r="K3" s="24"/>
    </row>
    <row r="4" spans="1:12" ht="12" customHeight="1" x14ac:dyDescent="0.25">
      <c r="A4" s="11"/>
      <c r="B4" s="21"/>
      <c r="C4" s="22"/>
      <c r="D4" s="14"/>
      <c r="E4" s="15"/>
      <c r="G4" s="15"/>
      <c r="H4" s="17">
        <v>2</v>
      </c>
      <c r="I4" s="23"/>
      <c r="J4" s="18"/>
      <c r="K4" s="24"/>
    </row>
    <row r="5" spans="1:12" ht="12" customHeight="1" x14ac:dyDescent="0.25">
      <c r="A5" s="20" t="s">
        <v>12</v>
      </c>
      <c r="B5" s="21"/>
      <c r="C5" s="22"/>
      <c r="D5" s="14"/>
      <c r="E5" s="15"/>
      <c r="G5" s="15"/>
      <c r="I5" s="23"/>
      <c r="J5" s="18"/>
      <c r="K5" s="24"/>
    </row>
    <row r="6" spans="1:12" ht="12" customHeight="1" x14ac:dyDescent="0.25">
      <c r="A6" s="11"/>
      <c r="B6" s="21"/>
      <c r="C6" s="22"/>
      <c r="D6" s="14"/>
      <c r="E6" s="15"/>
      <c r="G6" s="15"/>
      <c r="I6" s="23"/>
      <c r="J6" s="18"/>
      <c r="K6" s="24"/>
    </row>
    <row r="7" spans="1:12" ht="12" customHeight="1" x14ac:dyDescent="0.25">
      <c r="A7" s="48" t="s">
        <v>9</v>
      </c>
      <c r="B7" s="49">
        <v>44927</v>
      </c>
      <c r="C7" s="57">
        <v>45077</v>
      </c>
      <c r="D7" s="14">
        <v>117000</v>
      </c>
      <c r="E7" s="15"/>
      <c r="F7" s="53">
        <f>DAYS360(B7,C7)</f>
        <v>150</v>
      </c>
      <c r="G7" s="15"/>
      <c r="H7" s="58">
        <v>1</v>
      </c>
      <c r="I7" s="23"/>
      <c r="J7" s="18">
        <f t="shared" ref="J7:J8" si="0">+D7/360*F7*H7/100</f>
        <v>487.5</v>
      </c>
      <c r="K7" s="24"/>
      <c r="L7" s="3"/>
    </row>
    <row r="8" spans="1:12" ht="12" customHeight="1" x14ac:dyDescent="0.25">
      <c r="A8" s="48" t="s">
        <v>9</v>
      </c>
      <c r="B8" s="49">
        <v>45077</v>
      </c>
      <c r="C8" s="57">
        <v>45107</v>
      </c>
      <c r="D8" s="14">
        <v>117000</v>
      </c>
      <c r="E8" s="15"/>
      <c r="F8" s="53">
        <f>DAYS360(B8,C8)</f>
        <v>30</v>
      </c>
      <c r="G8" s="15"/>
      <c r="H8" s="58">
        <v>1</v>
      </c>
      <c r="I8" s="23"/>
      <c r="J8" s="18">
        <f t="shared" si="0"/>
        <v>97.5</v>
      </c>
      <c r="K8" s="24"/>
      <c r="L8" s="3"/>
    </row>
    <row r="9" spans="1:12" s="145" customFormat="1" ht="12" customHeight="1" x14ac:dyDescent="0.25">
      <c r="A9" s="134" t="s">
        <v>9</v>
      </c>
      <c r="B9" s="135">
        <v>45107</v>
      </c>
      <c r="C9" s="136">
        <v>45198</v>
      </c>
      <c r="D9" s="137">
        <v>117000</v>
      </c>
      <c r="E9" s="138"/>
      <c r="F9" s="139">
        <f>DAYS360(B9,C9)+2</f>
        <v>91</v>
      </c>
      <c r="G9" s="138"/>
      <c r="H9" s="140">
        <v>1</v>
      </c>
      <c r="I9" s="141"/>
      <c r="J9" s="142">
        <f t="shared" ref="J9" si="1">+D9/360*F9*H9/100</f>
        <v>295.75</v>
      </c>
      <c r="K9" s="143"/>
      <c r="L9" s="144"/>
    </row>
    <row r="10" spans="1:12" ht="12" customHeight="1" x14ac:dyDescent="0.25">
      <c r="A10" s="48"/>
      <c r="B10" s="59"/>
      <c r="C10" s="57"/>
      <c r="D10" s="14"/>
      <c r="E10" s="15"/>
      <c r="F10" s="53"/>
      <c r="G10" s="15"/>
      <c r="H10" s="58"/>
      <c r="I10" s="23"/>
      <c r="J10" s="18"/>
      <c r="K10" s="24"/>
      <c r="L10" s="3"/>
    </row>
    <row r="11" spans="1:12" ht="12" customHeight="1" x14ac:dyDescent="0.25">
      <c r="A11" s="48" t="s">
        <v>47</v>
      </c>
      <c r="B11" s="59"/>
      <c r="C11" s="57"/>
      <c r="D11" s="14"/>
      <c r="E11" s="15"/>
      <c r="F11" s="53"/>
      <c r="G11" s="15"/>
      <c r="H11" s="58"/>
      <c r="I11" s="18"/>
      <c r="J11" s="18"/>
      <c r="K11" s="24">
        <v>0</v>
      </c>
    </row>
    <row r="12" spans="1:12" ht="12" customHeight="1" x14ac:dyDescent="0.25">
      <c r="A12" s="48" t="s">
        <v>49</v>
      </c>
      <c r="B12" s="59"/>
      <c r="C12" s="57"/>
      <c r="D12" s="14"/>
      <c r="E12" s="15"/>
      <c r="F12" s="53"/>
      <c r="G12" s="15"/>
      <c r="H12" s="58"/>
      <c r="I12" s="18"/>
      <c r="J12" s="18"/>
      <c r="K12" s="24">
        <v>0</v>
      </c>
    </row>
    <row r="13" spans="1:12" ht="12" customHeight="1" x14ac:dyDescent="0.25">
      <c r="A13" s="48"/>
      <c r="B13" s="49"/>
      <c r="C13" s="50"/>
      <c r="D13" s="51"/>
      <c r="E13" s="52"/>
      <c r="F13" s="53"/>
      <c r="G13" s="54"/>
      <c r="H13" s="55"/>
      <c r="I13" s="18"/>
      <c r="J13" s="18"/>
      <c r="K13" s="25"/>
      <c r="L13" s="14"/>
    </row>
    <row r="14" spans="1:12" ht="12" customHeight="1" x14ac:dyDescent="0.25">
      <c r="A14" s="48" t="s">
        <v>11</v>
      </c>
      <c r="B14" s="49">
        <v>44927</v>
      </c>
      <c r="C14" s="50">
        <v>44985</v>
      </c>
      <c r="D14" s="51">
        <v>117000</v>
      </c>
      <c r="E14" s="52">
        <f>DAYS360(B14,C14)+2</f>
        <v>59</v>
      </c>
      <c r="F14" s="53">
        <f>SUM(IF(E14&lt;31,0,IF(E14&lt;46,1,IF(E14&lt;61,2,IF(E14&lt;76,3,4))))+E14)</f>
        <v>61</v>
      </c>
      <c r="G14" s="54">
        <f>3.954-$H$4</f>
        <v>1.9540000000000002</v>
      </c>
      <c r="H14" s="55">
        <f>+G14+$H$4</f>
        <v>3.9540000000000002</v>
      </c>
      <c r="I14" s="18">
        <f t="shared" ref="I14" si="2">+D14/360*F14*H14/100</f>
        <v>783.88049999999998</v>
      </c>
      <c r="J14" s="18"/>
      <c r="K14" s="25"/>
      <c r="L14" s="14"/>
    </row>
    <row r="15" spans="1:12" ht="12" customHeight="1" x14ac:dyDescent="0.25">
      <c r="A15" s="48"/>
      <c r="B15" s="49"/>
      <c r="C15" s="50"/>
      <c r="D15" s="51"/>
      <c r="E15" s="52"/>
      <c r="F15" s="53"/>
      <c r="G15" s="54"/>
      <c r="H15" s="55"/>
      <c r="I15" s="18"/>
      <c r="J15" s="18"/>
      <c r="K15" s="25"/>
      <c r="L15" s="14"/>
    </row>
    <row r="16" spans="1:12" ht="12" customHeight="1" x14ac:dyDescent="0.25">
      <c r="A16" s="48" t="s">
        <v>11</v>
      </c>
      <c r="B16" s="49">
        <v>44985</v>
      </c>
      <c r="C16" s="50">
        <v>45072</v>
      </c>
      <c r="D16" s="51">
        <f>SUM(D13:D15)</f>
        <v>117000</v>
      </c>
      <c r="E16" s="52">
        <f>DAYS360(B16,C16)+2</f>
        <v>88</v>
      </c>
      <c r="F16" s="53">
        <f>SUM(IF(E16&lt;31,0,IF(E16&lt;46,1,IF(E16&lt;61,2,IF(E16&lt;76,3,4))))+E16)-1</f>
        <v>91</v>
      </c>
      <c r="G16" s="54">
        <f>4.698-$H$4</f>
        <v>2.6980000000000004</v>
      </c>
      <c r="H16" s="55">
        <f>+G16+$H$4</f>
        <v>4.6980000000000004</v>
      </c>
      <c r="I16" s="18">
        <f t="shared" ref="I16" si="3">+D16/360*F16*H16/100</f>
        <v>1389.4335000000001</v>
      </c>
      <c r="J16" s="18"/>
      <c r="K16" s="25"/>
      <c r="L16" s="14"/>
    </row>
    <row r="17" spans="1:12" ht="12" customHeight="1" x14ac:dyDescent="0.25">
      <c r="A17" s="48"/>
      <c r="B17" s="49"/>
      <c r="C17" s="50"/>
      <c r="D17" s="51"/>
      <c r="E17" s="52"/>
      <c r="F17" s="53"/>
      <c r="G17" s="54"/>
      <c r="H17" s="55"/>
      <c r="I17" s="18"/>
      <c r="J17" s="18"/>
      <c r="K17" s="25"/>
      <c r="L17" s="14"/>
    </row>
    <row r="18" spans="1:12" ht="12" customHeight="1" x14ac:dyDescent="0.25">
      <c r="A18" s="48" t="s">
        <v>11</v>
      </c>
      <c r="B18" s="49">
        <v>45072</v>
      </c>
      <c r="C18" s="50">
        <v>45107</v>
      </c>
      <c r="D18" s="51">
        <f>SUM(D15:D17)</f>
        <v>117000</v>
      </c>
      <c r="E18" s="52">
        <f>DAYS360(B18,C18)+2</f>
        <v>36</v>
      </c>
      <c r="F18" s="53">
        <f>SUM(IF(E18&lt;31,0,IF(E18&lt;46,1,IF(E18&lt;61,2,IF(E18&lt;76,3,4))))+E18)-1</f>
        <v>36</v>
      </c>
      <c r="G18" s="54">
        <f>5.415-$H$14</f>
        <v>1.4609999999999999</v>
      </c>
      <c r="H18" s="55">
        <f>+G18+$H$14</f>
        <v>5.415</v>
      </c>
      <c r="I18" s="18">
        <f t="shared" ref="I18" si="4">+D18/360*F18*H18/100</f>
        <v>633.55499999999995</v>
      </c>
      <c r="J18" s="18"/>
      <c r="K18" s="25"/>
      <c r="L18" s="14"/>
    </row>
    <row r="19" spans="1:12" ht="12" customHeight="1" x14ac:dyDescent="0.25">
      <c r="A19" s="48"/>
      <c r="B19" s="49"/>
      <c r="C19" s="50"/>
      <c r="D19" s="51"/>
      <c r="E19" s="52"/>
      <c r="F19" s="53"/>
      <c r="G19" s="54"/>
      <c r="H19" s="55"/>
      <c r="I19" s="18"/>
      <c r="J19" s="18"/>
      <c r="K19" s="25"/>
      <c r="L19" s="14"/>
    </row>
    <row r="20" spans="1:12" s="145" customFormat="1" ht="12" customHeight="1" x14ac:dyDescent="0.25">
      <c r="A20" s="134" t="s">
        <v>11</v>
      </c>
      <c r="B20" s="135">
        <v>45107</v>
      </c>
      <c r="C20" s="146">
        <v>45198</v>
      </c>
      <c r="D20" s="147">
        <f>SUM(D17:D19)</f>
        <v>117000</v>
      </c>
      <c r="E20" s="148">
        <f>DAYS360(B20,C20)+2</f>
        <v>91</v>
      </c>
      <c r="F20" s="139">
        <f>SUM(IF(E20&lt;31,0,IF(E20&lt;46,1,IF(E20&lt;61,2,IF(E20&lt;76,3,4))))+E20)</f>
        <v>95</v>
      </c>
      <c r="G20" s="149">
        <f>5.598-$H$14</f>
        <v>1.6439999999999997</v>
      </c>
      <c r="H20" s="150">
        <f>+G20+$H$14</f>
        <v>5.5979999999999999</v>
      </c>
      <c r="I20" s="142">
        <f t="shared" ref="I20:I21" si="5">+D20/360*F20*H20/100</f>
        <v>1728.3824999999999</v>
      </c>
      <c r="J20" s="142"/>
      <c r="K20" s="151"/>
      <c r="L20" s="137"/>
    </row>
    <row r="21" spans="1:12" ht="12" customHeight="1" x14ac:dyDescent="0.25">
      <c r="A21" s="48" t="s">
        <v>55</v>
      </c>
      <c r="B21" s="49">
        <v>45113</v>
      </c>
      <c r="C21" s="50">
        <v>45198</v>
      </c>
      <c r="D21" s="51">
        <v>-117000</v>
      </c>
      <c r="E21" s="52">
        <f>DAYS360(B21,C21)+2</f>
        <v>85</v>
      </c>
      <c r="F21" s="53">
        <f>SUM(IF(E21&lt;31,0,IF(E21&lt;46,1,IF(E21&lt;61,2,IF(E21&lt;76,3,4))))+E21)-4</f>
        <v>85</v>
      </c>
      <c r="G21" s="54">
        <f>5.598-$H$14</f>
        <v>1.6439999999999997</v>
      </c>
      <c r="H21" s="55">
        <f>+G21+$H$14</f>
        <v>5.5979999999999999</v>
      </c>
      <c r="I21" s="18">
        <f t="shared" si="5"/>
        <v>-1546.4475</v>
      </c>
      <c r="J21" s="18"/>
      <c r="K21" s="25"/>
      <c r="L21" s="14"/>
    </row>
    <row r="22" spans="1:12" ht="12" customHeight="1" thickBot="1" x14ac:dyDescent="0.3">
      <c r="A22" s="26"/>
      <c r="B22" s="27"/>
      <c r="C22" s="28"/>
      <c r="D22" s="29"/>
      <c r="E22" s="30"/>
      <c r="F22" s="31"/>
      <c r="G22" s="30"/>
      <c r="H22" s="31"/>
      <c r="I22" s="32"/>
      <c r="J22" s="32"/>
      <c r="K22" s="33"/>
    </row>
    <row r="23" spans="1:12" s="42" customFormat="1" ht="24" customHeight="1" thickBot="1" x14ac:dyDescent="0.3">
      <c r="A23" s="34" t="s">
        <v>10</v>
      </c>
      <c r="B23" s="35"/>
      <c r="C23" s="36"/>
      <c r="D23" s="37">
        <f>SUM(D20:D22)</f>
        <v>0</v>
      </c>
      <c r="E23" s="38"/>
      <c r="F23" s="39"/>
      <c r="G23" s="38"/>
      <c r="H23" s="38"/>
      <c r="I23" s="40">
        <f>SUM(I4:I22)</f>
        <v>2988.8040000000001</v>
      </c>
      <c r="J23" s="40">
        <f>SUM(J4:J22)</f>
        <v>880.75</v>
      </c>
      <c r="K23" s="41">
        <f>SUM(K4:K22)</f>
        <v>0</v>
      </c>
    </row>
    <row r="24" spans="1:12" s="42" customFormat="1" ht="24" customHeight="1" thickBot="1" x14ac:dyDescent="0.3">
      <c r="A24" s="43"/>
      <c r="B24" s="44"/>
      <c r="C24" s="44"/>
      <c r="D24" s="45"/>
      <c r="E24" s="44"/>
      <c r="F24" s="44"/>
      <c r="G24" s="44"/>
      <c r="H24" s="46"/>
      <c r="I24" s="129">
        <f>+I23+J23</f>
        <v>3869.5540000000001</v>
      </c>
      <c r="J24" s="130"/>
      <c r="K24" s="47"/>
    </row>
    <row r="26" spans="1:12" s="104" customFormat="1" ht="12" customHeight="1" x14ac:dyDescent="0.25">
      <c r="D26" s="105"/>
      <c r="I26" s="106"/>
      <c r="J26" s="106"/>
      <c r="K26" s="106"/>
    </row>
    <row r="28" spans="1:12" ht="12" customHeight="1" x14ac:dyDescent="0.25">
      <c r="I28" s="14"/>
    </row>
    <row r="29" spans="1:12" ht="12" customHeight="1" x14ac:dyDescent="0.25">
      <c r="I29" s="3"/>
    </row>
  </sheetData>
  <mergeCells count="2">
    <mergeCell ref="B2:C2"/>
    <mergeCell ref="I24:J24"/>
  </mergeCells>
  <printOptions horizontalCentered="1"/>
  <pageMargins left="0.15748031496062992" right="0.15748031496062992" top="0.86614173228346458" bottom="0.47244094488188981" header="0.43307086614173229" footer="0.23622047244094491"/>
  <pageSetup paperSize="9" orientation="landscape" r:id="rId1"/>
  <headerFooter alignWithMargins="0">
    <oddHeader>&amp;L&amp;"Arial,Gras"&amp;12CHIFOUMI PRODUCTIONS&amp;C&amp;"Arial,Gras"&amp;14COFILOISIRS - DEVELOPPEMENT</oddHeader>
    <oddFooter>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5B3D1-DE81-4EDF-B513-EDA3923C8E3C}">
  <sheetPr>
    <pageSetUpPr fitToPage="1"/>
  </sheetPr>
  <dimension ref="A1:L19"/>
  <sheetViews>
    <sheetView zoomScaleNormal="100" workbookViewId="0">
      <selection activeCell="H18" sqref="H18:J19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10.109375" style="1" bestFit="1" customWidth="1"/>
    <col min="10" max="11" width="9.6640625" style="3" customWidth="1"/>
    <col min="12" max="12" width="1.6640625" style="1" customWidth="1"/>
    <col min="13" max="16384" width="11.5546875" style="1"/>
  </cols>
  <sheetData>
    <row r="1" spans="1:12" ht="12" customHeight="1" thickBot="1" x14ac:dyDescent="0.3"/>
    <row r="2" spans="1:12" s="60" customFormat="1" ht="24" customHeight="1" thickBot="1" x14ac:dyDescent="0.3">
      <c r="A2" s="4" t="s">
        <v>54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</row>
    <row r="3" spans="1:12" ht="12" customHeight="1" x14ac:dyDescent="0.25">
      <c r="A3" s="20"/>
      <c r="B3" s="21"/>
      <c r="C3" s="22"/>
      <c r="D3" s="14"/>
      <c r="E3" s="15"/>
      <c r="G3" s="15"/>
      <c r="H3" s="80"/>
      <c r="I3" s="23"/>
      <c r="J3" s="18"/>
      <c r="K3" s="24"/>
    </row>
    <row r="4" spans="1:12" ht="12" customHeight="1" x14ac:dyDescent="0.25">
      <c r="A4" s="11"/>
      <c r="B4" s="21"/>
      <c r="C4" s="22"/>
      <c r="D4" s="14"/>
      <c r="E4" s="15"/>
      <c r="G4" s="15"/>
      <c r="H4" s="17">
        <v>2</v>
      </c>
      <c r="I4" s="23"/>
      <c r="J4" s="18"/>
      <c r="K4" s="24"/>
    </row>
    <row r="5" spans="1:12" ht="12" customHeight="1" x14ac:dyDescent="0.25">
      <c r="A5" s="20" t="s">
        <v>12</v>
      </c>
      <c r="B5" s="21"/>
      <c r="C5" s="22"/>
      <c r="D5" s="14"/>
      <c r="E5" s="15"/>
      <c r="G5" s="15"/>
      <c r="I5" s="23"/>
      <c r="J5" s="18"/>
      <c r="K5" s="24"/>
    </row>
    <row r="6" spans="1:12" ht="12" customHeight="1" x14ac:dyDescent="0.25">
      <c r="A6" s="11"/>
      <c r="B6" s="21"/>
      <c r="C6" s="22"/>
      <c r="D6" s="14"/>
      <c r="E6" s="15"/>
      <c r="G6" s="15"/>
      <c r="I6" s="23"/>
      <c r="J6" s="18"/>
      <c r="K6" s="24"/>
    </row>
    <row r="7" spans="1:12" ht="12" customHeight="1" x14ac:dyDescent="0.25">
      <c r="A7" s="48" t="s">
        <v>9</v>
      </c>
      <c r="B7" s="49">
        <v>45017</v>
      </c>
      <c r="C7" s="57">
        <v>45077</v>
      </c>
      <c r="D7" s="14">
        <v>117000</v>
      </c>
      <c r="E7" s="15"/>
      <c r="F7" s="53">
        <f>DAYS360(B7,C7)</f>
        <v>60</v>
      </c>
      <c r="G7" s="15"/>
      <c r="H7" s="58">
        <v>1</v>
      </c>
      <c r="I7" s="23"/>
      <c r="J7" s="18">
        <f t="shared" ref="J7" si="0">+D7/360*F7*H7/100</f>
        <v>195</v>
      </c>
      <c r="K7" s="24"/>
      <c r="L7" s="3"/>
    </row>
    <row r="8" spans="1:12" ht="12" customHeight="1" x14ac:dyDescent="0.25">
      <c r="A8" s="48"/>
      <c r="B8" s="59"/>
      <c r="C8" s="57"/>
      <c r="D8" s="14"/>
      <c r="E8" s="15"/>
      <c r="F8" s="53"/>
      <c r="G8" s="15"/>
      <c r="H8" s="58"/>
      <c r="I8" s="23"/>
      <c r="J8" s="18"/>
      <c r="K8" s="24"/>
      <c r="L8" s="3"/>
    </row>
    <row r="9" spans="1:12" ht="12" customHeight="1" x14ac:dyDescent="0.25">
      <c r="A9" s="48" t="s">
        <v>47</v>
      </c>
      <c r="B9" s="59"/>
      <c r="C9" s="57"/>
      <c r="D9" s="14"/>
      <c r="E9" s="15"/>
      <c r="F9" s="53"/>
      <c r="G9" s="15"/>
      <c r="H9" s="58"/>
      <c r="I9" s="18"/>
      <c r="J9" s="18"/>
      <c r="K9" s="24">
        <v>0</v>
      </c>
    </row>
    <row r="10" spans="1:12" ht="12" customHeight="1" x14ac:dyDescent="0.25">
      <c r="A10" s="48" t="s">
        <v>49</v>
      </c>
      <c r="B10" s="59"/>
      <c r="C10" s="57"/>
      <c r="D10" s="14"/>
      <c r="E10" s="15"/>
      <c r="F10" s="53"/>
      <c r="G10" s="15"/>
      <c r="H10" s="58"/>
      <c r="I10" s="18"/>
      <c r="J10" s="18"/>
      <c r="K10" s="24">
        <v>0</v>
      </c>
    </row>
    <row r="11" spans="1:12" ht="12" customHeight="1" x14ac:dyDescent="0.25">
      <c r="A11" s="48"/>
      <c r="B11" s="49"/>
      <c r="C11" s="50"/>
      <c r="D11" s="51"/>
      <c r="E11" s="52"/>
      <c r="F11" s="53"/>
      <c r="G11" s="54"/>
      <c r="H11" s="55"/>
      <c r="I11" s="18"/>
      <c r="J11" s="18"/>
      <c r="K11" s="25"/>
      <c r="L11" s="14"/>
    </row>
    <row r="12" spans="1:12" ht="12" customHeight="1" x14ac:dyDescent="0.25">
      <c r="A12" s="48" t="s">
        <v>11</v>
      </c>
      <c r="B12" s="49">
        <v>45017</v>
      </c>
      <c r="C12" s="50">
        <v>45072</v>
      </c>
      <c r="D12" s="51">
        <v>117000</v>
      </c>
      <c r="E12" s="52">
        <f>DAYS360(B12,C12)+2</f>
        <v>57</v>
      </c>
      <c r="F12" s="53">
        <f>SUM(IF(E12&lt;31,0,IF(E12&lt;46,1,IF(E12&lt;61,2,IF(E12&lt;76,3,4))))+E12)</f>
        <v>59</v>
      </c>
      <c r="G12" s="54">
        <f>4.698-$H$4</f>
        <v>2.6980000000000004</v>
      </c>
      <c r="H12" s="55">
        <f>+G12+$H$4</f>
        <v>4.6980000000000004</v>
      </c>
      <c r="I12" s="18">
        <f t="shared" ref="I12" si="1">+D12/360*F12*H12/100</f>
        <v>900.84150000000011</v>
      </c>
      <c r="J12" s="18"/>
      <c r="K12" s="25"/>
      <c r="L12" s="14"/>
    </row>
    <row r="13" spans="1:12" ht="12" customHeight="1" thickBot="1" x14ac:dyDescent="0.3">
      <c r="A13" s="26"/>
      <c r="B13" s="27"/>
      <c r="C13" s="28"/>
      <c r="D13" s="29"/>
      <c r="E13" s="30"/>
      <c r="F13" s="31"/>
      <c r="G13" s="30"/>
      <c r="H13" s="31"/>
      <c r="I13" s="32"/>
      <c r="J13" s="32"/>
      <c r="K13" s="33"/>
    </row>
    <row r="14" spans="1:12" s="42" customFormat="1" ht="24" customHeight="1" thickBot="1" x14ac:dyDescent="0.3">
      <c r="A14" s="34" t="s">
        <v>10</v>
      </c>
      <c r="B14" s="35"/>
      <c r="C14" s="36"/>
      <c r="D14" s="37">
        <f>SUM(D12:D13)</f>
        <v>117000</v>
      </c>
      <c r="E14" s="38"/>
      <c r="F14" s="39"/>
      <c r="G14" s="38"/>
      <c r="H14" s="38"/>
      <c r="I14" s="114">
        <f>SUM(I3:I13)</f>
        <v>900.84150000000011</v>
      </c>
      <c r="J14" s="115">
        <f>SUM(J3:J13)</f>
        <v>195</v>
      </c>
      <c r="K14" s="41">
        <f>SUM(K4:K13)</f>
        <v>0</v>
      </c>
    </row>
    <row r="15" spans="1:12" s="42" customFormat="1" ht="24" customHeight="1" thickBot="1" x14ac:dyDescent="0.3">
      <c r="A15" s="43"/>
      <c r="B15" s="44"/>
      <c r="C15" s="44"/>
      <c r="D15" s="45"/>
      <c r="E15" s="44"/>
      <c r="F15" s="44"/>
      <c r="G15" s="44"/>
      <c r="H15" s="46"/>
      <c r="I15" s="129">
        <f>+I14+J14</f>
        <v>1095.8415</v>
      </c>
      <c r="J15" s="130"/>
      <c r="K15" s="47"/>
    </row>
    <row r="17" spans="4:11" s="104" customFormat="1" ht="12" customHeight="1" thickBot="1" x14ac:dyDescent="0.3">
      <c r="D17" s="105"/>
      <c r="H17" s="1"/>
      <c r="I17" s="3"/>
      <c r="J17" s="3"/>
      <c r="K17" s="106"/>
    </row>
    <row r="18" spans="4:11" ht="12" customHeight="1" x14ac:dyDescent="0.25">
      <c r="H18" s="107" t="s">
        <v>37</v>
      </c>
      <c r="I18" s="108">
        <v>486000</v>
      </c>
      <c r="J18" s="125">
        <v>486000</v>
      </c>
    </row>
    <row r="19" spans="4:11" ht="12" customHeight="1" thickBot="1" x14ac:dyDescent="0.3">
      <c r="H19" s="110" t="s">
        <v>38</v>
      </c>
      <c r="I19" s="111">
        <v>661100</v>
      </c>
      <c r="J19" s="126">
        <v>661100</v>
      </c>
    </row>
  </sheetData>
  <mergeCells count="2">
    <mergeCell ref="B2:C2"/>
    <mergeCell ref="I15:J15"/>
  </mergeCells>
  <printOptions horizontalCentered="1"/>
  <pageMargins left="0.15748031496062992" right="0.15748031496062992" top="0.86614173228346458" bottom="0.47244094488188981" header="0.43307086614173229" footer="0.23622047244094491"/>
  <pageSetup paperSize="9" orientation="landscape" r:id="rId1"/>
  <headerFooter alignWithMargins="0">
    <oddHeader>&amp;L&amp;"Arial,Gras"&amp;12CHIFOUMI PRODUCTIONS&amp;C&amp;"Arial,Gras"&amp;14COFILOISIRS - DEVELOPPEMENT</oddHeader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4CB5F-4821-47FA-ACA3-0A60BC5B5071}">
  <sheetPr>
    <pageSetUpPr fitToPage="1"/>
  </sheetPr>
  <dimension ref="A1:L33"/>
  <sheetViews>
    <sheetView zoomScaleNormal="100" workbookViewId="0">
      <selection activeCell="H20" sqref="H20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10.109375" style="1" bestFit="1" customWidth="1"/>
    <col min="10" max="11" width="9.6640625" style="3" customWidth="1"/>
    <col min="12" max="12" width="1.6640625" style="1" customWidth="1"/>
    <col min="13" max="16384" width="11.5546875" style="1"/>
  </cols>
  <sheetData>
    <row r="1" spans="1:12" ht="12" customHeight="1" thickBot="1" x14ac:dyDescent="0.3"/>
    <row r="2" spans="1:12" s="60" customFormat="1" ht="24" customHeight="1" thickBot="1" x14ac:dyDescent="0.3">
      <c r="A2" s="4" t="s">
        <v>46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</row>
    <row r="3" spans="1:12" ht="12" customHeight="1" x14ac:dyDescent="0.25">
      <c r="A3" s="20"/>
      <c r="B3" s="21"/>
      <c r="C3" s="22"/>
      <c r="D3" s="14"/>
      <c r="E3" s="15"/>
      <c r="G3" s="15"/>
      <c r="H3" s="80"/>
      <c r="I3" s="23"/>
      <c r="J3" s="18"/>
      <c r="K3" s="24"/>
    </row>
    <row r="4" spans="1:12" ht="12" customHeight="1" x14ac:dyDescent="0.25">
      <c r="A4" s="11"/>
      <c r="B4" s="21"/>
      <c r="C4" s="22"/>
      <c r="D4" s="14"/>
      <c r="E4" s="15"/>
      <c r="G4" s="15"/>
      <c r="H4" s="17">
        <v>2</v>
      </c>
      <c r="I4" s="23"/>
      <c r="J4" s="18"/>
      <c r="K4" s="24"/>
    </row>
    <row r="5" spans="1:12" ht="12" customHeight="1" x14ac:dyDescent="0.25">
      <c r="A5" s="20" t="s">
        <v>12</v>
      </c>
      <c r="B5" s="21"/>
      <c r="C5" s="22"/>
      <c r="D5" s="14"/>
      <c r="E5" s="15"/>
      <c r="G5" s="15"/>
      <c r="I5" s="23"/>
      <c r="J5" s="18"/>
      <c r="K5" s="24"/>
    </row>
    <row r="6" spans="1:12" ht="12" customHeight="1" x14ac:dyDescent="0.25">
      <c r="A6" s="11"/>
      <c r="B6" s="21"/>
      <c r="C6" s="22"/>
      <c r="D6" s="14"/>
      <c r="E6" s="15"/>
      <c r="G6" s="15"/>
      <c r="I6" s="23"/>
      <c r="J6" s="18"/>
      <c r="K6" s="24"/>
    </row>
    <row r="7" spans="1:12" ht="12" customHeight="1" x14ac:dyDescent="0.25">
      <c r="A7" s="48" t="s">
        <v>9</v>
      </c>
      <c r="B7" s="49">
        <v>44620</v>
      </c>
      <c r="C7" s="57">
        <v>44620</v>
      </c>
      <c r="D7" s="14">
        <v>217000</v>
      </c>
      <c r="E7" s="15"/>
      <c r="F7" s="53">
        <f>DAYS360(B7,C7)+2</f>
        <v>0</v>
      </c>
      <c r="G7" s="15"/>
      <c r="H7" s="58">
        <v>1</v>
      </c>
      <c r="I7" s="23"/>
      <c r="J7" s="18">
        <f>+D7/360*F7*H7/100</f>
        <v>0</v>
      </c>
      <c r="K7" s="24"/>
      <c r="L7" s="3"/>
    </row>
    <row r="8" spans="1:12" ht="12" customHeight="1" x14ac:dyDescent="0.25">
      <c r="A8" s="48" t="s">
        <v>9</v>
      </c>
      <c r="B8" s="49">
        <v>44620</v>
      </c>
      <c r="C8" s="57">
        <v>44711</v>
      </c>
      <c r="D8" s="14">
        <f>+D7+D17</f>
        <v>167000</v>
      </c>
      <c r="E8" s="15"/>
      <c r="F8" s="53">
        <f>DAYS360(B8,C8)+1</f>
        <v>91</v>
      </c>
      <c r="G8" s="15"/>
      <c r="H8" s="58">
        <v>1</v>
      </c>
      <c r="I8" s="23"/>
      <c r="J8" s="18">
        <f>+D8/360*F8*H8/100</f>
        <v>422.13888888888891</v>
      </c>
      <c r="K8" s="24"/>
      <c r="L8" s="3"/>
    </row>
    <row r="9" spans="1:12" ht="12" customHeight="1" x14ac:dyDescent="0.25">
      <c r="A9" s="48" t="s">
        <v>9</v>
      </c>
      <c r="B9" s="49">
        <v>44711</v>
      </c>
      <c r="C9" s="57">
        <v>44804</v>
      </c>
      <c r="D9" s="14">
        <v>117000</v>
      </c>
      <c r="E9" s="15"/>
      <c r="F9" s="53">
        <f>DAYS360(B9,C9)+3</f>
        <v>93</v>
      </c>
      <c r="G9" s="15"/>
      <c r="H9" s="58">
        <v>1</v>
      </c>
      <c r="I9" s="23"/>
      <c r="J9" s="18">
        <f>+D9/360*F9*H9/100</f>
        <v>302.25</v>
      </c>
      <c r="K9" s="24"/>
      <c r="L9" s="3"/>
    </row>
    <row r="10" spans="1:12" ht="12" customHeight="1" x14ac:dyDescent="0.25">
      <c r="A10" s="48" t="s">
        <v>9</v>
      </c>
      <c r="B10" s="49">
        <v>44804</v>
      </c>
      <c r="C10" s="57">
        <v>44895</v>
      </c>
      <c r="D10" s="14">
        <v>117000</v>
      </c>
      <c r="E10" s="15"/>
      <c r="F10" s="53">
        <f>DAYS360(B10,C10)+1</f>
        <v>91</v>
      </c>
      <c r="G10" s="15"/>
      <c r="H10" s="58">
        <v>1</v>
      </c>
      <c r="I10" s="23"/>
      <c r="J10" s="18">
        <f t="shared" ref="J10:J11" si="0">+D10/360*F10*H10/100</f>
        <v>295.75</v>
      </c>
      <c r="K10" s="24"/>
      <c r="L10" s="3"/>
    </row>
    <row r="11" spans="1:12" ht="12" customHeight="1" x14ac:dyDescent="0.25">
      <c r="A11" s="48" t="s">
        <v>9</v>
      </c>
      <c r="B11" s="49">
        <v>44895</v>
      </c>
      <c r="C11" s="57">
        <v>44926</v>
      </c>
      <c r="D11" s="14">
        <v>117000</v>
      </c>
      <c r="E11" s="15"/>
      <c r="F11" s="53">
        <f>DAYS360(B11,C11)+2</f>
        <v>32</v>
      </c>
      <c r="G11" s="15"/>
      <c r="H11" s="58">
        <v>1</v>
      </c>
      <c r="I11" s="23"/>
      <c r="J11" s="18">
        <f t="shared" si="0"/>
        <v>104</v>
      </c>
      <c r="K11" s="24"/>
      <c r="L11" s="3"/>
    </row>
    <row r="12" spans="1:12" ht="12" customHeight="1" x14ac:dyDescent="0.25">
      <c r="A12" s="48"/>
      <c r="B12" s="59"/>
      <c r="C12" s="57"/>
      <c r="D12" s="14"/>
      <c r="E12" s="15"/>
      <c r="F12" s="53"/>
      <c r="G12" s="15"/>
      <c r="H12" s="58"/>
      <c r="I12" s="23"/>
      <c r="J12" s="18"/>
      <c r="K12" s="24"/>
      <c r="L12" s="3"/>
    </row>
    <row r="13" spans="1:12" ht="12" customHeight="1" x14ac:dyDescent="0.25">
      <c r="A13" s="48" t="s">
        <v>47</v>
      </c>
      <c r="B13" s="59"/>
      <c r="C13" s="57"/>
      <c r="D13" s="14"/>
      <c r="E13" s="15"/>
      <c r="F13" s="53"/>
      <c r="G13" s="15"/>
      <c r="H13" s="58"/>
      <c r="I13" s="18"/>
      <c r="J13" s="18"/>
      <c r="K13" s="24">
        <f>500+120</f>
        <v>620</v>
      </c>
    </row>
    <row r="14" spans="1:12" ht="12" customHeight="1" x14ac:dyDescent="0.25">
      <c r="A14" s="48" t="s">
        <v>49</v>
      </c>
      <c r="B14" s="59"/>
      <c r="C14" s="57"/>
      <c r="D14" s="14"/>
      <c r="E14" s="15"/>
      <c r="F14" s="53"/>
      <c r="G14" s="15"/>
      <c r="H14" s="58"/>
      <c r="I14" s="18"/>
      <c r="J14" s="18"/>
      <c r="K14" s="24">
        <f>400+400</f>
        <v>800</v>
      </c>
    </row>
    <row r="15" spans="1:12" ht="12" customHeight="1" x14ac:dyDescent="0.25">
      <c r="A15" s="48"/>
      <c r="B15" s="49"/>
      <c r="C15" s="50"/>
      <c r="D15" s="51"/>
      <c r="E15" s="52"/>
      <c r="F15" s="53"/>
      <c r="G15" s="54"/>
      <c r="H15" s="55"/>
      <c r="I15" s="18"/>
      <c r="J15" s="18"/>
      <c r="K15" s="25"/>
      <c r="L15" s="14"/>
    </row>
    <row r="16" spans="1:12" ht="12" customHeight="1" x14ac:dyDescent="0.25">
      <c r="A16" s="48" t="s">
        <v>11</v>
      </c>
      <c r="B16" s="49">
        <v>44620</v>
      </c>
      <c r="C16" s="50">
        <v>44620</v>
      </c>
      <c r="D16" s="51">
        <v>217000</v>
      </c>
      <c r="E16" s="52">
        <f>DAYS360(B16,C16)+2</f>
        <v>0</v>
      </c>
      <c r="F16" s="53">
        <f>SUM(IF(E16&lt;31,0,IF(E16&lt;46,1,IF(E16&lt;61,2,IF(E16&lt;76,3,4))))+E16)</f>
        <v>0</v>
      </c>
      <c r="G16" s="54">
        <f>2-$H$4</f>
        <v>0</v>
      </c>
      <c r="H16" s="55">
        <f>+G16+$H$4</f>
        <v>2</v>
      </c>
      <c r="I16" s="18">
        <f t="shared" ref="I16:I17" si="1">+D16/360*F16*H16/100</f>
        <v>0</v>
      </c>
      <c r="J16" s="18"/>
      <c r="K16" s="25"/>
      <c r="L16" s="14"/>
    </row>
    <row r="17" spans="1:12" ht="12" customHeight="1" x14ac:dyDescent="0.25">
      <c r="A17" s="48" t="s">
        <v>44</v>
      </c>
      <c r="B17" s="49">
        <v>44593</v>
      </c>
      <c r="C17" s="50">
        <v>44620</v>
      </c>
      <c r="D17" s="51">
        <v>-50000</v>
      </c>
      <c r="E17" s="52">
        <f>DAYS360(B17,C17)+2</f>
        <v>29</v>
      </c>
      <c r="F17" s="53">
        <f>SUM(IF(E17&lt;31,0,IF(E17&lt;46,1,IF(E17&lt;61,2,IF(E17&lt;76,3,4))))+E17)-2</f>
        <v>27</v>
      </c>
      <c r="G17" s="54">
        <f>2-$H$4</f>
        <v>0</v>
      </c>
      <c r="H17" s="55">
        <f>+G17+$H$4</f>
        <v>2</v>
      </c>
      <c r="I17" s="18">
        <f t="shared" si="1"/>
        <v>-75</v>
      </c>
      <c r="J17" s="18"/>
      <c r="K17" s="25"/>
      <c r="L17" s="14"/>
    </row>
    <row r="18" spans="1:12" ht="12" customHeight="1" x14ac:dyDescent="0.25">
      <c r="A18" s="48"/>
      <c r="B18" s="49"/>
      <c r="C18" s="50"/>
      <c r="D18" s="51"/>
      <c r="E18" s="52"/>
      <c r="F18" s="53"/>
      <c r="G18" s="54"/>
      <c r="H18" s="55"/>
      <c r="I18" s="18"/>
      <c r="J18" s="18"/>
      <c r="K18" s="25"/>
      <c r="L18" s="14"/>
    </row>
    <row r="19" spans="1:12" ht="12" customHeight="1" x14ac:dyDescent="0.25">
      <c r="A19" s="48" t="s">
        <v>11</v>
      </c>
      <c r="B19" s="49">
        <v>44620</v>
      </c>
      <c r="C19" s="50">
        <v>44711</v>
      </c>
      <c r="D19" s="51">
        <f>SUM(D16:D18)</f>
        <v>167000</v>
      </c>
      <c r="E19" s="52">
        <f>DAYS360(B19,C19)+2</f>
        <v>92</v>
      </c>
      <c r="F19" s="53">
        <f>SUM(IF(E19&lt;31,0,IF(E19&lt;46,1,IF(E19&lt;61,2,IF(E19&lt;76,3,4))))+E19)-1</f>
        <v>95</v>
      </c>
      <c r="G19" s="54">
        <f t="shared" ref="G19:G22" si="2">2-$H$4</f>
        <v>0</v>
      </c>
      <c r="H19" s="55">
        <f t="shared" ref="H19:H26" si="3">+G19+$H$4</f>
        <v>2</v>
      </c>
      <c r="I19" s="18">
        <f t="shared" ref="I19:I20" si="4">+D19/360*F19*H19/100</f>
        <v>881.38888888888891</v>
      </c>
      <c r="J19" s="18"/>
      <c r="K19" s="25"/>
      <c r="L19" s="14"/>
    </row>
    <row r="20" spans="1:12" ht="12" customHeight="1" x14ac:dyDescent="0.25">
      <c r="A20" s="48" t="s">
        <v>44</v>
      </c>
      <c r="B20" s="49">
        <v>44699</v>
      </c>
      <c r="C20" s="50">
        <v>44711</v>
      </c>
      <c r="D20" s="51">
        <v>-50000</v>
      </c>
      <c r="E20" s="52">
        <f>DAYS360(B20,C20)+2</f>
        <v>14</v>
      </c>
      <c r="F20" s="53">
        <f>SUM(IF(E20&lt;31,0,IF(E20&lt;46,1,IF(E20&lt;61,2,IF(E20&lt;76,3,4))))+E20)-2</f>
        <v>12</v>
      </c>
      <c r="G20" s="54">
        <f t="shared" si="2"/>
        <v>0</v>
      </c>
      <c r="H20" s="55">
        <f t="shared" si="3"/>
        <v>2</v>
      </c>
      <c r="I20" s="18">
        <f t="shared" si="4"/>
        <v>-33.333333333333329</v>
      </c>
      <c r="J20" s="18"/>
      <c r="K20" s="25"/>
      <c r="L20" s="14"/>
    </row>
    <row r="21" spans="1:12" ht="12" customHeight="1" x14ac:dyDescent="0.25">
      <c r="A21" s="48"/>
      <c r="B21" s="49"/>
      <c r="C21" s="50"/>
      <c r="D21" s="51"/>
      <c r="E21" s="52"/>
      <c r="F21" s="53"/>
      <c r="G21" s="54"/>
      <c r="H21" s="55"/>
      <c r="I21" s="18"/>
      <c r="J21" s="18"/>
      <c r="K21" s="25"/>
      <c r="L21" s="14"/>
    </row>
    <row r="22" spans="1:12" ht="12" customHeight="1" x14ac:dyDescent="0.25">
      <c r="A22" s="48" t="s">
        <v>11</v>
      </c>
      <c r="B22" s="49">
        <v>44711</v>
      </c>
      <c r="C22" s="50">
        <v>44803</v>
      </c>
      <c r="D22" s="51">
        <f>SUM(D19:D21)</f>
        <v>117000</v>
      </c>
      <c r="E22" s="52">
        <f>DAYS360(B22,C22)+2</f>
        <v>92</v>
      </c>
      <c r="F22" s="53">
        <f>SUM(IF(E22&lt;31,0,IF(E22&lt;46,1,IF(E22&lt;61,2,IF(E22&lt;76,3,4))))+E22)</f>
        <v>96</v>
      </c>
      <c r="G22" s="54">
        <f t="shared" si="2"/>
        <v>0</v>
      </c>
      <c r="H22" s="55">
        <f t="shared" si="3"/>
        <v>2</v>
      </c>
      <c r="I22" s="18">
        <f t="shared" ref="I22" si="5">+D22/360*F22*H22/100</f>
        <v>624</v>
      </c>
      <c r="J22" s="18"/>
      <c r="K22" s="25"/>
      <c r="L22" s="14"/>
    </row>
    <row r="23" spans="1:12" ht="12" customHeight="1" x14ac:dyDescent="0.25">
      <c r="A23" s="48"/>
      <c r="B23" s="49"/>
      <c r="C23" s="50"/>
      <c r="D23" s="51"/>
      <c r="E23" s="52"/>
      <c r="F23" s="53"/>
      <c r="G23" s="54"/>
      <c r="H23" s="55"/>
      <c r="I23" s="18"/>
      <c r="J23" s="18"/>
      <c r="K23" s="25"/>
      <c r="L23" s="14"/>
    </row>
    <row r="24" spans="1:12" ht="12" customHeight="1" x14ac:dyDescent="0.25">
      <c r="A24" s="48" t="s">
        <v>11</v>
      </c>
      <c r="B24" s="49">
        <v>44803</v>
      </c>
      <c r="C24" s="50">
        <v>44895</v>
      </c>
      <c r="D24" s="51">
        <f>SUM(D21:D23)</f>
        <v>117000</v>
      </c>
      <c r="E24" s="52">
        <f>DAYS360(B24,C24)+2</f>
        <v>92</v>
      </c>
      <c r="F24" s="53">
        <f>SUM(IF(E24&lt;31,0,IF(E24&lt;46,1,IF(E24&lt;61,2,IF(E24&lt;76,3,4))))+E24)</f>
        <v>96</v>
      </c>
      <c r="G24" s="54">
        <f>2.542-$H$4</f>
        <v>0.54199999999999982</v>
      </c>
      <c r="H24" s="55">
        <f t="shared" si="3"/>
        <v>2.5419999999999998</v>
      </c>
      <c r="I24" s="18">
        <f t="shared" ref="I24" si="6">+D24/360*F24*H24/100</f>
        <v>793.10399999999993</v>
      </c>
      <c r="J24" s="18"/>
      <c r="K24" s="25"/>
      <c r="L24" s="14"/>
    </row>
    <row r="25" spans="1:12" ht="12" customHeight="1" x14ac:dyDescent="0.25">
      <c r="A25" s="48"/>
      <c r="B25" s="49"/>
      <c r="C25" s="50"/>
      <c r="D25" s="51"/>
      <c r="E25" s="52"/>
      <c r="F25" s="53"/>
      <c r="G25" s="54"/>
      <c r="H25" s="55"/>
      <c r="I25" s="18"/>
      <c r="J25" s="18"/>
      <c r="K25" s="25"/>
      <c r="L25" s="14"/>
    </row>
    <row r="26" spans="1:12" ht="12" customHeight="1" x14ac:dyDescent="0.25">
      <c r="A26" s="48" t="s">
        <v>11</v>
      </c>
      <c r="B26" s="49">
        <v>44895</v>
      </c>
      <c r="C26" s="50">
        <v>44926</v>
      </c>
      <c r="D26" s="51">
        <f>SUM(D23:D25)</f>
        <v>117000</v>
      </c>
      <c r="E26" s="52">
        <f>DAYS360(B26,C26)+2</f>
        <v>32</v>
      </c>
      <c r="F26" s="53">
        <f>SUM(IF(E26&lt;31,0,IF(E26&lt;46,1,IF(E26&lt;61,2,IF(E26&lt;76,3,4))))+E26)</f>
        <v>33</v>
      </c>
      <c r="G26" s="54">
        <f>3.954-$H$4</f>
        <v>1.9540000000000002</v>
      </c>
      <c r="H26" s="55">
        <f t="shared" si="3"/>
        <v>3.9540000000000002</v>
      </c>
      <c r="I26" s="18">
        <f t="shared" ref="I26" si="7">+D26/360*F26*H26/100</f>
        <v>424.06650000000002</v>
      </c>
      <c r="J26" s="18"/>
      <c r="K26" s="25"/>
      <c r="L26" s="14"/>
    </row>
    <row r="27" spans="1:12" ht="12" customHeight="1" thickBot="1" x14ac:dyDescent="0.3">
      <c r="A27" s="26"/>
      <c r="B27" s="27"/>
      <c r="C27" s="28"/>
      <c r="D27" s="29"/>
      <c r="E27" s="30"/>
      <c r="F27" s="31"/>
      <c r="G27" s="30"/>
      <c r="H27" s="31"/>
      <c r="I27" s="32"/>
      <c r="J27" s="32"/>
      <c r="K27" s="33"/>
    </row>
    <row r="28" spans="1:12" s="42" customFormat="1" ht="24" customHeight="1" thickBot="1" x14ac:dyDescent="0.3">
      <c r="A28" s="34" t="s">
        <v>10</v>
      </c>
      <c r="B28" s="35"/>
      <c r="C28" s="36"/>
      <c r="D28" s="37">
        <f>SUM(D26:D27)</f>
        <v>117000</v>
      </c>
      <c r="E28" s="38"/>
      <c r="F28" s="39"/>
      <c r="G28" s="38"/>
      <c r="H28" s="38"/>
      <c r="I28" s="40">
        <f>SUM(I4:I27)</f>
        <v>2614.2260555555554</v>
      </c>
      <c r="J28" s="40">
        <f>SUM(J4:J27)</f>
        <v>1124.1388888888889</v>
      </c>
      <c r="K28" s="41">
        <f>SUM(K4:K27)</f>
        <v>1420</v>
      </c>
    </row>
    <row r="29" spans="1:12" s="42" customFormat="1" ht="24" customHeight="1" thickBot="1" x14ac:dyDescent="0.3">
      <c r="A29" s="43"/>
      <c r="B29" s="44"/>
      <c r="C29" s="44"/>
      <c r="D29" s="45"/>
      <c r="E29" s="44"/>
      <c r="F29" s="44"/>
      <c r="G29" s="44"/>
      <c r="H29" s="46"/>
      <c r="I29" s="129">
        <f>+I28+J28+0.01</f>
        <v>3738.3749444444447</v>
      </c>
      <c r="J29" s="130"/>
      <c r="K29" s="47"/>
    </row>
    <row r="31" spans="1:12" s="104" customFormat="1" ht="12" customHeight="1" x14ac:dyDescent="0.25">
      <c r="D31" s="105"/>
      <c r="I31" s="106"/>
      <c r="J31" s="106"/>
      <c r="K31" s="106"/>
    </row>
    <row r="33" spans="9:9" ht="12" customHeight="1" x14ac:dyDescent="0.25">
      <c r="I33" s="14"/>
    </row>
  </sheetData>
  <mergeCells count="2">
    <mergeCell ref="B2:C2"/>
    <mergeCell ref="I29:J29"/>
  </mergeCells>
  <printOptions horizontalCentered="1"/>
  <pageMargins left="0.15748031496062992" right="0.15748031496062992" top="0.86614173228346458" bottom="0.47244094488188981" header="0.43307086614173229" footer="0.23622047244094491"/>
  <pageSetup paperSize="9" orientation="landscape" r:id="rId1"/>
  <headerFooter alignWithMargins="0">
    <oddHeader>&amp;L&amp;"Arial,Gras"&amp;12CHIFOUMI PRODUCTIONS&amp;C&amp;"Arial,Gras"&amp;14COFILOISIRS - DEVELOPPEMENT</oddHeader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4E691-7894-4283-88C1-6D077FC93C5A}">
  <sheetPr>
    <pageSetUpPr fitToPage="1"/>
  </sheetPr>
  <dimension ref="A1:L21"/>
  <sheetViews>
    <sheetView zoomScaleNormal="100" workbookViewId="0">
      <selection activeCell="H14" sqref="H14:J19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9.6640625" style="1" customWidth="1"/>
    <col min="10" max="11" width="9.6640625" style="3" customWidth="1"/>
    <col min="12" max="16384" width="11.5546875" style="1"/>
  </cols>
  <sheetData>
    <row r="1" spans="1:12" ht="12" customHeight="1" thickBot="1" x14ac:dyDescent="0.3"/>
    <row r="2" spans="1:12" s="60" customFormat="1" ht="24" customHeight="1" thickBot="1" x14ac:dyDescent="0.3">
      <c r="A2" s="4" t="s">
        <v>51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</row>
    <row r="3" spans="1:12" ht="12" customHeight="1" x14ac:dyDescent="0.25">
      <c r="A3" s="20"/>
      <c r="B3" s="21"/>
      <c r="C3" s="22"/>
      <c r="D3" s="14"/>
      <c r="E3" s="15"/>
      <c r="G3" s="15"/>
      <c r="H3" s="80"/>
      <c r="I3" s="23"/>
      <c r="J3" s="18"/>
      <c r="K3" s="24"/>
    </row>
    <row r="4" spans="1:12" ht="12" customHeight="1" x14ac:dyDescent="0.25">
      <c r="A4" s="11"/>
      <c r="B4" s="21"/>
      <c r="C4" s="22"/>
      <c r="D4" s="14"/>
      <c r="E4" s="15"/>
      <c r="G4" s="15"/>
      <c r="H4" s="17">
        <v>2</v>
      </c>
      <c r="I4" s="23"/>
      <c r="J4" s="18"/>
      <c r="K4" s="24"/>
    </row>
    <row r="5" spans="1:12" ht="12" customHeight="1" x14ac:dyDescent="0.25">
      <c r="A5" s="20" t="s">
        <v>12</v>
      </c>
      <c r="B5" s="21"/>
      <c r="C5" s="22"/>
      <c r="D5" s="14"/>
      <c r="E5" s="15"/>
      <c r="G5" s="15"/>
      <c r="I5" s="23"/>
      <c r="J5" s="18"/>
      <c r="K5" s="24"/>
    </row>
    <row r="6" spans="1:12" ht="12" customHeight="1" x14ac:dyDescent="0.25">
      <c r="A6" s="11"/>
      <c r="B6" s="21"/>
      <c r="C6" s="22"/>
      <c r="D6" s="14"/>
      <c r="E6" s="15"/>
      <c r="G6" s="15"/>
      <c r="I6" s="23"/>
      <c r="J6" s="18"/>
      <c r="K6" s="24"/>
    </row>
    <row r="7" spans="1:12" ht="12" customHeight="1" x14ac:dyDescent="0.25">
      <c r="A7" s="48" t="s">
        <v>9</v>
      </c>
      <c r="B7" s="49">
        <v>44927</v>
      </c>
      <c r="C7" s="57">
        <v>45077</v>
      </c>
      <c r="D7" s="14">
        <v>117000</v>
      </c>
      <c r="E7" s="15"/>
      <c r="F7" s="53">
        <f>DAYS360(B7,C7)</f>
        <v>150</v>
      </c>
      <c r="G7" s="15"/>
      <c r="H7" s="58">
        <v>1</v>
      </c>
      <c r="I7" s="23"/>
      <c r="J7" s="18">
        <f t="shared" ref="J7" si="0">+D7/360*F7*H7/100</f>
        <v>487.5</v>
      </c>
      <c r="K7" s="24"/>
      <c r="L7" s="3"/>
    </row>
    <row r="8" spans="1:12" ht="12" customHeight="1" x14ac:dyDescent="0.25">
      <c r="A8" s="48"/>
      <c r="B8" s="59"/>
      <c r="C8" s="57"/>
      <c r="D8" s="14"/>
      <c r="E8" s="15"/>
      <c r="F8" s="53"/>
      <c r="G8" s="15"/>
      <c r="H8" s="58"/>
      <c r="I8" s="23"/>
      <c r="J8" s="18"/>
      <c r="K8" s="24"/>
      <c r="L8" s="3"/>
    </row>
    <row r="9" spans="1:12" ht="12" customHeight="1" x14ac:dyDescent="0.25">
      <c r="A9" s="48" t="s">
        <v>47</v>
      </c>
      <c r="B9" s="59"/>
      <c r="C9" s="57"/>
      <c r="D9" s="14"/>
      <c r="E9" s="15"/>
      <c r="F9" s="53"/>
      <c r="G9" s="15"/>
      <c r="H9" s="58"/>
      <c r="I9" s="18"/>
      <c r="J9" s="18"/>
      <c r="K9" s="24">
        <v>0</v>
      </c>
    </row>
    <row r="10" spans="1:12" ht="12" customHeight="1" x14ac:dyDescent="0.25">
      <c r="A10" s="48" t="s">
        <v>49</v>
      </c>
      <c r="B10" s="59"/>
      <c r="C10" s="57"/>
      <c r="D10" s="14"/>
      <c r="E10" s="15"/>
      <c r="F10" s="53"/>
      <c r="G10" s="15"/>
      <c r="H10" s="58"/>
      <c r="I10" s="18"/>
      <c r="J10" s="18"/>
      <c r="K10" s="24">
        <v>0</v>
      </c>
    </row>
    <row r="11" spans="1:12" ht="12" customHeight="1" x14ac:dyDescent="0.25">
      <c r="A11" s="48"/>
      <c r="B11" s="49"/>
      <c r="C11" s="50"/>
      <c r="D11" s="51"/>
      <c r="E11" s="52"/>
      <c r="F11" s="53"/>
      <c r="G11" s="54"/>
      <c r="H11" s="55"/>
      <c r="I11" s="18"/>
      <c r="J11" s="18"/>
      <c r="K11" s="25"/>
      <c r="L11" s="14"/>
    </row>
    <row r="12" spans="1:12" ht="12" customHeight="1" x14ac:dyDescent="0.25">
      <c r="A12" s="48" t="s">
        <v>11</v>
      </c>
      <c r="B12" s="49">
        <v>44927</v>
      </c>
      <c r="C12" s="50">
        <v>44985</v>
      </c>
      <c r="D12" s="51">
        <v>117000</v>
      </c>
      <c r="E12" s="52">
        <f>DAYS360(B12,C12)+2</f>
        <v>59</v>
      </c>
      <c r="F12" s="53">
        <f>SUM(IF(E12&lt;31,0,IF(E12&lt;46,1,IF(E12&lt;61,2,IF(E12&lt;76,3,4))))+E12)</f>
        <v>61</v>
      </c>
      <c r="G12" s="54">
        <f>3.954-$H$9</f>
        <v>3.9540000000000002</v>
      </c>
      <c r="H12" s="55">
        <f>+G12+$H$9</f>
        <v>3.9540000000000002</v>
      </c>
      <c r="I12" s="18">
        <f t="shared" ref="I12" si="1">+D12/360*F12*H12/100</f>
        <v>783.88049999999998</v>
      </c>
      <c r="J12" s="18"/>
      <c r="K12" s="25"/>
      <c r="L12" s="14"/>
    </row>
    <row r="13" spans="1:12" ht="12" customHeight="1" thickBot="1" x14ac:dyDescent="0.3">
      <c r="A13" s="26"/>
      <c r="B13" s="27"/>
      <c r="C13" s="28"/>
      <c r="D13" s="29"/>
      <c r="E13" s="30"/>
      <c r="F13" s="31"/>
      <c r="G13" s="30"/>
      <c r="H13" s="31"/>
      <c r="I13" s="32"/>
      <c r="J13" s="32"/>
      <c r="K13" s="33"/>
    </row>
    <row r="14" spans="1:12" s="42" customFormat="1" ht="24" customHeight="1" thickBot="1" x14ac:dyDescent="0.3">
      <c r="A14" s="34" t="s">
        <v>10</v>
      </c>
      <c r="B14" s="35"/>
      <c r="C14" s="36"/>
      <c r="D14" s="37">
        <f>SUM(D12:D13)</f>
        <v>117000</v>
      </c>
      <c r="E14" s="38"/>
      <c r="F14" s="39"/>
      <c r="G14" s="38"/>
      <c r="H14" s="38"/>
      <c r="I14" s="114">
        <f>SUM(I3:I13)</f>
        <v>783.88049999999998</v>
      </c>
      <c r="J14" s="115">
        <f>SUM(J3:J13)</f>
        <v>487.5</v>
      </c>
      <c r="K14" s="41">
        <f>SUM(K3:K13)</f>
        <v>0</v>
      </c>
    </row>
    <row r="15" spans="1:12" s="42" customFormat="1" ht="24" customHeight="1" thickBot="1" x14ac:dyDescent="0.3">
      <c r="A15" s="43"/>
      <c r="B15" s="44"/>
      <c r="C15" s="44"/>
      <c r="D15" s="45"/>
      <c r="E15" s="44"/>
      <c r="F15" s="44"/>
      <c r="G15" s="44"/>
      <c r="H15" s="46"/>
      <c r="I15" s="129">
        <f>+I14+J14</f>
        <v>1271.3805</v>
      </c>
      <c r="J15" s="130"/>
      <c r="K15" s="47"/>
    </row>
    <row r="17" spans="1:11" ht="12" customHeight="1" thickBot="1" x14ac:dyDescent="0.3">
      <c r="A17" s="56"/>
      <c r="B17" s="56"/>
      <c r="D17" s="14"/>
      <c r="E17" s="56"/>
      <c r="I17" s="3"/>
    </row>
    <row r="18" spans="1:11" ht="12" customHeight="1" x14ac:dyDescent="0.25">
      <c r="H18" s="107" t="s">
        <v>37</v>
      </c>
      <c r="I18" s="108">
        <v>486000</v>
      </c>
      <c r="J18" s="109">
        <v>486000</v>
      </c>
      <c r="K18" s="113"/>
    </row>
    <row r="19" spans="1:11" ht="12" customHeight="1" thickBot="1" x14ac:dyDescent="0.3">
      <c r="H19" s="110" t="s">
        <v>38</v>
      </c>
      <c r="I19" s="111">
        <v>661100</v>
      </c>
      <c r="J19" s="112">
        <v>661100</v>
      </c>
      <c r="K19" s="113"/>
    </row>
    <row r="21" spans="1:11" ht="12" customHeight="1" x14ac:dyDescent="0.25">
      <c r="I21" s="51"/>
    </row>
  </sheetData>
  <mergeCells count="2">
    <mergeCell ref="B2:C2"/>
    <mergeCell ref="I15:J15"/>
  </mergeCells>
  <printOptions horizontalCentered="1"/>
  <pageMargins left="0.15748031496062992" right="0.15748031496062992" top="0.86614173228346458" bottom="0.47244094488188981" header="0.43307086614173229" footer="0.23622047244094491"/>
  <pageSetup paperSize="9" orientation="landscape" r:id="rId1"/>
  <headerFooter alignWithMargins="0">
    <oddHeader xml:space="preserve">&amp;L&amp;"Arial,Gras"&amp;12CHIFOUMI PRODUCTIONS&amp;C&amp;"Arial,Gras"&amp;14COFILOISIRS - DEVELOPPEMENT
</oddHeader>
    <oddFooter>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3186-28D0-4B11-98BE-17C3A07DC39B}">
  <sheetPr>
    <pageSetUpPr fitToPage="1"/>
  </sheetPr>
  <dimension ref="A1:L21"/>
  <sheetViews>
    <sheetView zoomScaleNormal="100" workbookViewId="0">
      <selection activeCell="F21" sqref="F21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9.6640625" style="1" customWidth="1"/>
    <col min="10" max="11" width="9.6640625" style="3" customWidth="1"/>
    <col min="12" max="16384" width="11.5546875" style="1"/>
  </cols>
  <sheetData>
    <row r="1" spans="1:12" ht="12" customHeight="1" thickBot="1" x14ac:dyDescent="0.3"/>
    <row r="2" spans="1:12" s="60" customFormat="1" ht="24" customHeight="1" thickBot="1" x14ac:dyDescent="0.3">
      <c r="A2" s="4" t="s">
        <v>51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</row>
    <row r="3" spans="1:12" ht="12" customHeight="1" x14ac:dyDescent="0.25">
      <c r="A3" s="20"/>
      <c r="B3" s="21"/>
      <c r="C3" s="22"/>
      <c r="D3" s="14"/>
      <c r="E3" s="15"/>
      <c r="G3" s="15"/>
      <c r="H3" s="80"/>
      <c r="I3" s="23"/>
      <c r="J3" s="18"/>
      <c r="K3" s="24"/>
    </row>
    <row r="4" spans="1:12" ht="12" customHeight="1" x14ac:dyDescent="0.25">
      <c r="A4" s="11"/>
      <c r="B4" s="21"/>
      <c r="C4" s="22"/>
      <c r="D4" s="14"/>
      <c r="E4" s="15"/>
      <c r="G4" s="15"/>
      <c r="H4" s="17">
        <v>2</v>
      </c>
      <c r="I4" s="23"/>
      <c r="J4" s="18"/>
      <c r="K4" s="24"/>
    </row>
    <row r="5" spans="1:12" ht="12" customHeight="1" x14ac:dyDescent="0.25">
      <c r="A5" s="20" t="s">
        <v>12</v>
      </c>
      <c r="B5" s="21"/>
      <c r="C5" s="22"/>
      <c r="D5" s="14"/>
      <c r="E5" s="15"/>
      <c r="G5" s="15"/>
      <c r="I5" s="23"/>
      <c r="J5" s="18"/>
      <c r="K5" s="24"/>
    </row>
    <row r="6" spans="1:12" ht="12" customHeight="1" x14ac:dyDescent="0.25">
      <c r="A6" s="11"/>
      <c r="B6" s="21"/>
      <c r="C6" s="22"/>
      <c r="D6" s="14"/>
      <c r="E6" s="15"/>
      <c r="G6" s="15"/>
      <c r="I6" s="23"/>
      <c r="J6" s="18"/>
      <c r="K6" s="24"/>
    </row>
    <row r="7" spans="1:12" ht="12" customHeight="1" x14ac:dyDescent="0.25">
      <c r="A7" s="48" t="s">
        <v>9</v>
      </c>
      <c r="B7" s="49">
        <v>44835</v>
      </c>
      <c r="C7" s="57">
        <v>44895</v>
      </c>
      <c r="D7" s="14">
        <v>117000</v>
      </c>
      <c r="E7" s="15"/>
      <c r="F7" s="53">
        <f>DAYS360(B7,C7)</f>
        <v>59</v>
      </c>
      <c r="G7" s="15"/>
      <c r="H7" s="58">
        <v>1</v>
      </c>
      <c r="I7" s="23"/>
      <c r="J7" s="18">
        <f t="shared" ref="J7" si="0">+D7/360*F7*H7/100</f>
        <v>191.75</v>
      </c>
      <c r="K7" s="24"/>
      <c r="L7" s="3"/>
    </row>
    <row r="8" spans="1:12" ht="12" customHeight="1" x14ac:dyDescent="0.25">
      <c r="A8" s="48"/>
      <c r="B8" s="59"/>
      <c r="C8" s="57"/>
      <c r="D8" s="14"/>
      <c r="E8" s="15"/>
      <c r="F8" s="53"/>
      <c r="G8" s="15"/>
      <c r="H8" s="58"/>
      <c r="I8" s="23"/>
      <c r="J8" s="18"/>
      <c r="K8" s="24"/>
      <c r="L8" s="3"/>
    </row>
    <row r="9" spans="1:12" ht="12" customHeight="1" x14ac:dyDescent="0.25">
      <c r="A9" s="48" t="s">
        <v>47</v>
      </c>
      <c r="B9" s="59"/>
      <c r="C9" s="57"/>
      <c r="D9" s="14"/>
      <c r="E9" s="15"/>
      <c r="F9" s="53"/>
      <c r="G9" s="15"/>
      <c r="H9" s="58"/>
      <c r="I9" s="18"/>
      <c r="J9" s="18"/>
      <c r="K9" s="24">
        <v>0</v>
      </c>
    </row>
    <row r="10" spans="1:12" ht="12" customHeight="1" x14ac:dyDescent="0.25">
      <c r="A10" s="48" t="s">
        <v>49</v>
      </c>
      <c r="B10" s="59"/>
      <c r="C10" s="57"/>
      <c r="D10" s="14"/>
      <c r="E10" s="15"/>
      <c r="F10" s="53"/>
      <c r="G10" s="15"/>
      <c r="H10" s="58"/>
      <c r="I10" s="18"/>
      <c r="J10" s="18"/>
      <c r="K10" s="24">
        <v>0</v>
      </c>
    </row>
    <row r="11" spans="1:12" ht="12" customHeight="1" x14ac:dyDescent="0.25">
      <c r="A11" s="48"/>
      <c r="B11" s="49"/>
      <c r="C11" s="50"/>
      <c r="D11" s="51"/>
      <c r="E11" s="52"/>
      <c r="F11" s="53"/>
      <c r="G11" s="54"/>
      <c r="H11" s="55"/>
      <c r="I11" s="18"/>
      <c r="J11" s="18"/>
      <c r="K11" s="25"/>
      <c r="L11" s="14"/>
    </row>
    <row r="12" spans="1:12" ht="12" customHeight="1" x14ac:dyDescent="0.25">
      <c r="A12" s="48" t="s">
        <v>11</v>
      </c>
      <c r="B12" s="49">
        <v>44835</v>
      </c>
      <c r="C12" s="50">
        <v>44895</v>
      </c>
      <c r="D12" s="51">
        <v>117000</v>
      </c>
      <c r="E12" s="52">
        <f>DAYS360(B12,C12)+2</f>
        <v>61</v>
      </c>
      <c r="F12" s="53">
        <f>SUM(IF(E12&lt;31,0,IF(E12&lt;46,1,IF(E12&lt;61,2,IF(E12&lt;76,3,4))))+E12)</f>
        <v>64</v>
      </c>
      <c r="G12" s="54">
        <f>2.542-$H$14</f>
        <v>2.5419999999999998</v>
      </c>
      <c r="H12" s="55">
        <f>+G12+$H$14</f>
        <v>2.5419999999999998</v>
      </c>
      <c r="I12" s="18">
        <f t="shared" ref="I12" si="1">+D12/360*F12*H12/100</f>
        <v>528.73599999999999</v>
      </c>
      <c r="J12" s="18"/>
      <c r="K12" s="25"/>
      <c r="L12" s="14"/>
    </row>
    <row r="13" spans="1:12" ht="12" customHeight="1" thickBot="1" x14ac:dyDescent="0.3">
      <c r="A13" s="26"/>
      <c r="B13" s="27"/>
      <c r="C13" s="28"/>
      <c r="D13" s="29"/>
      <c r="E13" s="30"/>
      <c r="F13" s="31"/>
      <c r="G13" s="30"/>
      <c r="H13" s="31"/>
      <c r="I13" s="32"/>
      <c r="J13" s="32"/>
      <c r="K13" s="33"/>
    </row>
    <row r="14" spans="1:12" s="42" customFormat="1" ht="24" customHeight="1" thickBot="1" x14ac:dyDescent="0.3">
      <c r="A14" s="34" t="s">
        <v>10</v>
      </c>
      <c r="B14" s="35"/>
      <c r="C14" s="36"/>
      <c r="D14" s="37">
        <f>SUM(D12:D13)</f>
        <v>117000</v>
      </c>
      <c r="E14" s="38"/>
      <c r="F14" s="39"/>
      <c r="G14" s="38"/>
      <c r="H14" s="38"/>
      <c r="I14" s="114">
        <f>SUM(I3:I13)</f>
        <v>528.73599999999999</v>
      </c>
      <c r="J14" s="115">
        <f>SUM(J3:J13)</f>
        <v>191.75</v>
      </c>
      <c r="K14" s="41">
        <f>SUM(K3:K13)</f>
        <v>0</v>
      </c>
    </row>
    <row r="15" spans="1:12" s="42" customFormat="1" ht="24" customHeight="1" thickBot="1" x14ac:dyDescent="0.3">
      <c r="A15" s="43"/>
      <c r="B15" s="44"/>
      <c r="C15" s="44"/>
      <c r="D15" s="45"/>
      <c r="E15" s="44"/>
      <c r="F15" s="44"/>
      <c r="G15" s="44"/>
      <c r="H15" s="46"/>
      <c r="I15" s="129">
        <f>+I14+J14</f>
        <v>720.48599999999999</v>
      </c>
      <c r="J15" s="130"/>
      <c r="K15" s="47"/>
    </row>
    <row r="17" spans="1:11" ht="12" customHeight="1" thickBot="1" x14ac:dyDescent="0.3">
      <c r="A17" s="56"/>
      <c r="B17" s="56"/>
      <c r="D17" s="14"/>
      <c r="E17" s="56"/>
      <c r="I17" s="3"/>
    </row>
    <row r="18" spans="1:11" ht="12" customHeight="1" x14ac:dyDescent="0.25">
      <c r="H18" s="107" t="s">
        <v>37</v>
      </c>
      <c r="I18" s="108">
        <v>486000</v>
      </c>
      <c r="J18" s="109">
        <v>486000</v>
      </c>
      <c r="K18" s="113"/>
    </row>
    <row r="19" spans="1:11" ht="12" customHeight="1" thickBot="1" x14ac:dyDescent="0.3">
      <c r="H19" s="110" t="s">
        <v>38</v>
      </c>
      <c r="I19" s="111">
        <v>661100</v>
      </c>
      <c r="J19" s="112">
        <v>661100</v>
      </c>
      <c r="K19" s="113"/>
    </row>
    <row r="21" spans="1:11" ht="12" customHeight="1" x14ac:dyDescent="0.25">
      <c r="I21" s="51"/>
    </row>
  </sheetData>
  <mergeCells count="2">
    <mergeCell ref="B2:C2"/>
    <mergeCell ref="I15:J15"/>
  </mergeCells>
  <printOptions horizontalCentered="1"/>
  <pageMargins left="0.15748031496062992" right="0.15748031496062992" top="0.86614173228346458" bottom="0.47244094488188981" header="0.43307086614173229" footer="0.23622047244094491"/>
  <pageSetup paperSize="9" orientation="landscape" r:id="rId1"/>
  <headerFooter alignWithMargins="0">
    <oddHeader xml:space="preserve">&amp;L&amp;"Arial,Gras"&amp;12CHIFOUMI PRODUCTIONS&amp;C&amp;"Arial,Gras"&amp;14COFILOISIRS - DEVELOPPEMENT
</oddHeader>
    <oddFooter>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67973-6398-4427-9D19-D5DD1E061AA5}">
  <sheetPr>
    <pageSetUpPr fitToPage="1"/>
  </sheetPr>
  <dimension ref="A1:L21"/>
  <sheetViews>
    <sheetView zoomScaleNormal="100" workbookViewId="0">
      <selection activeCell="D15" sqref="D15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9.6640625" style="1" customWidth="1"/>
    <col min="10" max="11" width="9.6640625" style="3" customWidth="1"/>
    <col min="12" max="16384" width="11.5546875" style="1"/>
  </cols>
  <sheetData>
    <row r="1" spans="1:12" ht="12" customHeight="1" thickBot="1" x14ac:dyDescent="0.3"/>
    <row r="2" spans="1:12" s="60" customFormat="1" ht="24" customHeight="1" thickBot="1" x14ac:dyDescent="0.3">
      <c r="A2" s="4" t="s">
        <v>51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</row>
    <row r="3" spans="1:12" ht="12" customHeight="1" x14ac:dyDescent="0.25">
      <c r="A3" s="20"/>
      <c r="B3" s="21"/>
      <c r="C3" s="22"/>
      <c r="D3" s="14"/>
      <c r="E3" s="15"/>
      <c r="G3" s="15"/>
      <c r="H3" s="80"/>
      <c r="I3" s="23"/>
      <c r="J3" s="18"/>
      <c r="K3" s="24"/>
    </row>
    <row r="4" spans="1:12" ht="12" customHeight="1" x14ac:dyDescent="0.25">
      <c r="A4" s="11"/>
      <c r="B4" s="21"/>
      <c r="C4" s="22"/>
      <c r="D4" s="14"/>
      <c r="E4" s="15"/>
      <c r="G4" s="15"/>
      <c r="H4" s="17">
        <v>2</v>
      </c>
      <c r="I4" s="23"/>
      <c r="J4" s="18"/>
      <c r="K4" s="24"/>
    </row>
    <row r="5" spans="1:12" ht="12" customHeight="1" x14ac:dyDescent="0.25">
      <c r="A5" s="20" t="s">
        <v>12</v>
      </c>
      <c r="B5" s="21"/>
      <c r="C5" s="22"/>
      <c r="D5" s="14"/>
      <c r="E5" s="15"/>
      <c r="G5" s="15"/>
      <c r="I5" s="23"/>
      <c r="J5" s="18"/>
      <c r="K5" s="24"/>
    </row>
    <row r="6" spans="1:12" ht="12" customHeight="1" x14ac:dyDescent="0.25">
      <c r="A6" s="11"/>
      <c r="B6" s="21"/>
      <c r="C6" s="22"/>
      <c r="D6" s="14"/>
      <c r="E6" s="15"/>
      <c r="G6" s="15"/>
      <c r="I6" s="23"/>
      <c r="J6" s="18"/>
      <c r="K6" s="24"/>
    </row>
    <row r="7" spans="1:12" ht="12" customHeight="1" x14ac:dyDescent="0.25">
      <c r="A7" s="48" t="s">
        <v>9</v>
      </c>
      <c r="B7" s="49">
        <v>44743</v>
      </c>
      <c r="C7" s="57">
        <v>44804</v>
      </c>
      <c r="D7" s="14">
        <v>117000</v>
      </c>
      <c r="E7" s="15"/>
      <c r="F7" s="53">
        <f>DAYS360(B7,C7)+2</f>
        <v>62</v>
      </c>
      <c r="G7" s="15"/>
      <c r="H7" s="58">
        <v>1</v>
      </c>
      <c r="I7" s="23"/>
      <c r="J7" s="18">
        <f>+D7/360*F7*H7/100</f>
        <v>201.5</v>
      </c>
      <c r="K7" s="24"/>
      <c r="L7" s="3"/>
    </row>
    <row r="8" spans="1:12" ht="12" customHeight="1" x14ac:dyDescent="0.25">
      <c r="A8" s="48"/>
      <c r="B8" s="59"/>
      <c r="C8" s="57"/>
      <c r="D8" s="14"/>
      <c r="E8" s="15"/>
      <c r="F8" s="53"/>
      <c r="G8" s="15"/>
      <c r="H8" s="58"/>
      <c r="I8" s="23"/>
      <c r="J8" s="18"/>
      <c r="K8" s="24"/>
      <c r="L8" s="3"/>
    </row>
    <row r="9" spans="1:12" ht="12" customHeight="1" x14ac:dyDescent="0.25">
      <c r="A9" s="48" t="s">
        <v>47</v>
      </c>
      <c r="B9" s="59"/>
      <c r="C9" s="57"/>
      <c r="D9" s="14"/>
      <c r="E9" s="15"/>
      <c r="F9" s="53"/>
      <c r="G9" s="15"/>
      <c r="H9" s="58"/>
      <c r="I9" s="18"/>
      <c r="J9" s="18"/>
      <c r="K9" s="24">
        <v>0</v>
      </c>
    </row>
    <row r="10" spans="1:12" ht="12" customHeight="1" x14ac:dyDescent="0.25">
      <c r="A10" s="48" t="s">
        <v>49</v>
      </c>
      <c r="B10" s="59"/>
      <c r="C10" s="57"/>
      <c r="D10" s="14"/>
      <c r="E10" s="15"/>
      <c r="F10" s="53"/>
      <c r="G10" s="15"/>
      <c r="H10" s="58"/>
      <c r="I10" s="18"/>
      <c r="J10" s="18"/>
      <c r="K10" s="24">
        <v>0</v>
      </c>
    </row>
    <row r="11" spans="1:12" ht="12" customHeight="1" x14ac:dyDescent="0.25">
      <c r="A11" s="48"/>
      <c r="B11" s="49"/>
      <c r="C11" s="50"/>
      <c r="D11" s="51"/>
      <c r="E11" s="52"/>
      <c r="F11" s="53"/>
      <c r="G11" s="54"/>
      <c r="H11" s="55"/>
      <c r="I11" s="18"/>
      <c r="J11" s="18"/>
      <c r="K11" s="25"/>
      <c r="L11" s="14"/>
    </row>
    <row r="12" spans="1:12" ht="12" customHeight="1" x14ac:dyDescent="0.25">
      <c r="A12" s="48" t="s">
        <v>11</v>
      </c>
      <c r="B12" s="49">
        <v>44743</v>
      </c>
      <c r="C12" s="50">
        <v>44803</v>
      </c>
      <c r="D12" s="51">
        <v>117000</v>
      </c>
      <c r="E12" s="52">
        <f>DAYS360(B12,C12)+2</f>
        <v>61</v>
      </c>
      <c r="F12" s="53">
        <f>SUM(IF(E12&lt;31,0,IF(E12&lt;46,1,IF(E12&lt;61,2,IF(E12&lt;76,3,4))))+E12)-3</f>
        <v>61</v>
      </c>
      <c r="G12" s="54">
        <f>2-$H$11</f>
        <v>2</v>
      </c>
      <c r="H12" s="55">
        <f>+G12+$H$11</f>
        <v>2</v>
      </c>
      <c r="I12" s="18">
        <f t="shared" ref="I12" si="0">+D12/360*F12*H12/100</f>
        <v>396.5</v>
      </c>
      <c r="J12" s="18"/>
      <c r="K12" s="25"/>
      <c r="L12" s="14"/>
    </row>
    <row r="13" spans="1:12" ht="12" customHeight="1" thickBot="1" x14ac:dyDescent="0.3">
      <c r="A13" s="26"/>
      <c r="B13" s="27"/>
      <c r="C13" s="28"/>
      <c r="D13" s="29"/>
      <c r="E13" s="30"/>
      <c r="F13" s="31"/>
      <c r="G13" s="30"/>
      <c r="H13" s="31"/>
      <c r="I13" s="32"/>
      <c r="J13" s="32"/>
      <c r="K13" s="33"/>
    </row>
    <row r="14" spans="1:12" s="42" customFormat="1" ht="24" customHeight="1" thickBot="1" x14ac:dyDescent="0.3">
      <c r="A14" s="34" t="s">
        <v>10</v>
      </c>
      <c r="B14" s="35"/>
      <c r="C14" s="36"/>
      <c r="D14" s="37">
        <f>SUM(D12:D13)</f>
        <v>117000</v>
      </c>
      <c r="E14" s="38"/>
      <c r="F14" s="39"/>
      <c r="G14" s="38"/>
      <c r="H14" s="38"/>
      <c r="I14" s="114">
        <f>SUM(I3:I13)</f>
        <v>396.5</v>
      </c>
      <c r="J14" s="115">
        <f>SUM(J3:J13)</f>
        <v>201.5</v>
      </c>
      <c r="K14" s="41">
        <f>SUM(K3:K13)</f>
        <v>0</v>
      </c>
    </row>
    <row r="15" spans="1:12" s="42" customFormat="1" ht="24" customHeight="1" thickBot="1" x14ac:dyDescent="0.3">
      <c r="A15" s="43"/>
      <c r="B15" s="44"/>
      <c r="C15" s="44"/>
      <c r="D15" s="45"/>
      <c r="E15" s="44"/>
      <c r="F15" s="44"/>
      <c r="G15" s="44"/>
      <c r="H15" s="46"/>
      <c r="I15" s="129">
        <f>+I14+J14</f>
        <v>598</v>
      </c>
      <c r="J15" s="130"/>
      <c r="K15" s="47"/>
    </row>
    <row r="17" spans="1:11" ht="12" customHeight="1" thickBot="1" x14ac:dyDescent="0.3">
      <c r="A17" s="56"/>
      <c r="B17" s="56"/>
      <c r="D17" s="14"/>
      <c r="E17" s="56"/>
      <c r="I17" s="3"/>
    </row>
    <row r="18" spans="1:11" ht="12" customHeight="1" x14ac:dyDescent="0.25">
      <c r="H18" s="107" t="s">
        <v>37</v>
      </c>
      <c r="I18" s="108">
        <v>486000</v>
      </c>
      <c r="J18" s="109">
        <v>486000</v>
      </c>
      <c r="K18" s="113"/>
    </row>
    <row r="19" spans="1:11" ht="12" customHeight="1" thickBot="1" x14ac:dyDescent="0.3">
      <c r="H19" s="110" t="s">
        <v>38</v>
      </c>
      <c r="I19" s="111">
        <v>661100</v>
      </c>
      <c r="J19" s="112">
        <v>661100</v>
      </c>
      <c r="K19" s="113"/>
    </row>
    <row r="21" spans="1:11" ht="12" customHeight="1" x14ac:dyDescent="0.25">
      <c r="I21" s="51"/>
    </row>
  </sheetData>
  <mergeCells count="2">
    <mergeCell ref="B2:C2"/>
    <mergeCell ref="I15:J15"/>
  </mergeCells>
  <printOptions horizontalCentered="1"/>
  <pageMargins left="0.15748031496062992" right="0.15748031496062992" top="0.86614173228346458" bottom="0.47244094488188981" header="0.43307086614173229" footer="0.23622047244094491"/>
  <pageSetup paperSize="9" orientation="landscape" r:id="rId1"/>
  <headerFooter alignWithMargins="0">
    <oddHeader xml:space="preserve">&amp;L&amp;"Arial,Gras"&amp;12CHIFOUMI PRODUCTIONS&amp;C&amp;"Arial,Gras"&amp;14COFILOISIRS - DEVELOPPEMENT
</oddHeader>
    <oddFooter>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92B24-116D-492D-AEF0-D8BF919BDA00}">
  <sheetPr>
    <pageSetUpPr fitToPage="1"/>
  </sheetPr>
  <dimension ref="A1:R21"/>
  <sheetViews>
    <sheetView zoomScaleNormal="100" workbookViewId="0">
      <selection activeCell="N22" sqref="N22:O22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9.6640625" style="1" customWidth="1"/>
    <col min="10" max="11" width="9.6640625" style="3" customWidth="1"/>
    <col min="12" max="16384" width="11.5546875" style="1"/>
  </cols>
  <sheetData>
    <row r="1" spans="1:18" ht="12" customHeight="1" thickBot="1" x14ac:dyDescent="0.3"/>
    <row r="2" spans="1:18" s="60" customFormat="1" ht="24" customHeight="1" thickBot="1" x14ac:dyDescent="0.3">
      <c r="A2" s="4" t="s">
        <v>50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</row>
    <row r="3" spans="1:18" ht="12" customHeight="1" x14ac:dyDescent="0.25">
      <c r="A3" s="20"/>
      <c r="B3" s="21"/>
      <c r="C3" s="22"/>
      <c r="D3" s="14"/>
      <c r="E3" s="15"/>
      <c r="G3" s="15"/>
      <c r="H3" s="80"/>
      <c r="I3" s="23"/>
      <c r="J3" s="18"/>
      <c r="K3" s="24"/>
    </row>
    <row r="4" spans="1:18" ht="12" customHeight="1" x14ac:dyDescent="0.25">
      <c r="A4" s="11"/>
      <c r="B4" s="21"/>
      <c r="C4" s="22"/>
      <c r="D4" s="14"/>
      <c r="E4" s="15"/>
      <c r="G4" s="15"/>
      <c r="H4" s="17">
        <v>2</v>
      </c>
      <c r="I4" s="23"/>
      <c r="J4" s="18"/>
      <c r="K4" s="24"/>
    </row>
    <row r="5" spans="1:18" ht="12" customHeight="1" x14ac:dyDescent="0.25">
      <c r="A5" s="20" t="s">
        <v>12</v>
      </c>
      <c r="B5" s="21"/>
      <c r="C5" s="22"/>
      <c r="D5" s="14"/>
      <c r="E5" s="15"/>
      <c r="G5" s="15"/>
      <c r="I5" s="23"/>
      <c r="J5" s="18"/>
      <c r="K5" s="24"/>
    </row>
    <row r="6" spans="1:18" ht="12" customHeight="1" x14ac:dyDescent="0.25">
      <c r="A6" s="11"/>
      <c r="B6" s="21"/>
      <c r="C6" s="22"/>
      <c r="D6" s="14"/>
      <c r="E6" s="15"/>
      <c r="G6" s="15"/>
      <c r="I6" s="23"/>
      <c r="J6" s="18"/>
      <c r="K6" s="24"/>
    </row>
    <row r="7" spans="1:18" ht="12" customHeight="1" x14ac:dyDescent="0.25">
      <c r="A7" s="48" t="s">
        <v>9</v>
      </c>
      <c r="B7" s="49">
        <v>44652</v>
      </c>
      <c r="C7" s="57">
        <v>44711</v>
      </c>
      <c r="D7" s="14">
        <v>167000</v>
      </c>
      <c r="E7" s="15"/>
      <c r="F7" s="53">
        <f>DAYS360(B7,C7)+1</f>
        <v>60</v>
      </c>
      <c r="G7" s="15"/>
      <c r="H7" s="58">
        <v>1</v>
      </c>
      <c r="I7" s="23"/>
      <c r="J7" s="18">
        <f>+D7/360*F7*H7/100</f>
        <v>278.33333333333337</v>
      </c>
      <c r="K7" s="24"/>
      <c r="L7" s="3"/>
    </row>
    <row r="8" spans="1:18" ht="12" customHeight="1" x14ac:dyDescent="0.25">
      <c r="A8" s="48"/>
      <c r="B8" s="59"/>
      <c r="C8" s="57"/>
      <c r="D8" s="14"/>
      <c r="E8" s="15"/>
      <c r="F8" s="53"/>
      <c r="G8" s="15"/>
      <c r="H8" s="58"/>
      <c r="I8" s="23"/>
      <c r="J8" s="18"/>
      <c r="K8" s="24"/>
      <c r="L8" s="3"/>
    </row>
    <row r="9" spans="1:18" ht="12" customHeight="1" x14ac:dyDescent="0.25">
      <c r="A9" s="48" t="s">
        <v>47</v>
      </c>
      <c r="B9" s="59"/>
      <c r="C9" s="57"/>
      <c r="D9" s="14"/>
      <c r="E9" s="15"/>
      <c r="F9" s="53"/>
      <c r="G9" s="15"/>
      <c r="H9" s="58"/>
      <c r="I9" s="18"/>
      <c r="J9" s="18"/>
      <c r="K9" s="24">
        <v>0</v>
      </c>
    </row>
    <row r="10" spans="1:18" ht="12" customHeight="1" x14ac:dyDescent="0.25">
      <c r="A10" s="48" t="s">
        <v>49</v>
      </c>
      <c r="B10" s="59"/>
      <c r="C10" s="57"/>
      <c r="D10" s="14"/>
      <c r="E10" s="15"/>
      <c r="F10" s="53"/>
      <c r="G10" s="15"/>
      <c r="H10" s="58"/>
      <c r="I10" s="18"/>
      <c r="J10" s="18"/>
      <c r="K10" s="24">
        <v>0</v>
      </c>
      <c r="M10" s="3"/>
      <c r="N10" s="3"/>
      <c r="O10" s="3"/>
      <c r="P10" s="3"/>
      <c r="Q10" s="3"/>
      <c r="R10" s="3"/>
    </row>
    <row r="11" spans="1:18" ht="12" customHeight="1" x14ac:dyDescent="0.25">
      <c r="A11" s="48"/>
      <c r="B11" s="49"/>
      <c r="C11" s="50"/>
      <c r="D11" s="51"/>
      <c r="E11" s="52"/>
      <c r="F11" s="53"/>
      <c r="G11" s="54"/>
      <c r="H11" s="55"/>
      <c r="I11" s="18"/>
      <c r="J11" s="18"/>
      <c r="K11" s="25"/>
      <c r="L11" s="14"/>
    </row>
    <row r="12" spans="1:18" ht="12" customHeight="1" x14ac:dyDescent="0.25">
      <c r="A12" s="48" t="s">
        <v>11</v>
      </c>
      <c r="B12" s="49">
        <v>44652</v>
      </c>
      <c r="C12" s="50">
        <v>44711</v>
      </c>
      <c r="D12" s="51">
        <v>167000</v>
      </c>
      <c r="E12" s="52">
        <f>DAYS360(B12,C12)+2</f>
        <v>61</v>
      </c>
      <c r="F12" s="53">
        <f>SUM(IF(E12&lt;31,0,IF(E12&lt;46,1,IF(E12&lt;61,2,IF(E12&lt;76,3,4))))+E12)-1</f>
        <v>63</v>
      </c>
      <c r="G12" s="54">
        <f>2-H4</f>
        <v>0</v>
      </c>
      <c r="H12" s="55">
        <f>+G12+H4</f>
        <v>2</v>
      </c>
      <c r="I12" s="18">
        <f t="shared" ref="I12" si="0">+D12/360*F12*H12/100</f>
        <v>584.5</v>
      </c>
      <c r="J12" s="18"/>
      <c r="K12" s="25"/>
      <c r="L12" s="14"/>
    </row>
    <row r="13" spans="1:18" ht="12" customHeight="1" thickBot="1" x14ac:dyDescent="0.3">
      <c r="A13" s="26"/>
      <c r="B13" s="27"/>
      <c r="C13" s="28"/>
      <c r="D13" s="29"/>
      <c r="E13" s="30"/>
      <c r="F13" s="31"/>
      <c r="G13" s="30"/>
      <c r="H13" s="31"/>
      <c r="I13" s="32"/>
      <c r="J13" s="32"/>
      <c r="K13" s="33"/>
    </row>
    <row r="14" spans="1:18" s="42" customFormat="1" ht="24" customHeight="1" thickBot="1" x14ac:dyDescent="0.3">
      <c r="A14" s="34" t="s">
        <v>10</v>
      </c>
      <c r="B14" s="35"/>
      <c r="C14" s="36"/>
      <c r="D14" s="37">
        <f>SUM(D12:D13)</f>
        <v>167000</v>
      </c>
      <c r="E14" s="38"/>
      <c r="F14" s="39"/>
      <c r="G14" s="38"/>
      <c r="H14" s="38"/>
      <c r="I14" s="114">
        <f>SUM(I3:I13)</f>
        <v>584.5</v>
      </c>
      <c r="J14" s="115">
        <f>SUM(J3:J13)</f>
        <v>278.33333333333337</v>
      </c>
      <c r="K14" s="41">
        <f>SUM(K3:K13)</f>
        <v>0</v>
      </c>
    </row>
    <row r="15" spans="1:18" s="42" customFormat="1" ht="24" customHeight="1" thickBot="1" x14ac:dyDescent="0.3">
      <c r="A15" s="43"/>
      <c r="B15" s="44"/>
      <c r="C15" s="44"/>
      <c r="D15" s="45"/>
      <c r="E15" s="44"/>
      <c r="F15" s="44"/>
      <c r="G15" s="44"/>
      <c r="H15" s="46"/>
      <c r="I15" s="129">
        <f>+I14+J14</f>
        <v>862.83333333333337</v>
      </c>
      <c r="J15" s="130"/>
      <c r="K15" s="47"/>
    </row>
    <row r="17" spans="1:11" ht="12" customHeight="1" thickBot="1" x14ac:dyDescent="0.3">
      <c r="A17" s="56"/>
      <c r="B17" s="56"/>
      <c r="D17" s="14"/>
      <c r="E17" s="56"/>
      <c r="I17" s="3"/>
    </row>
    <row r="18" spans="1:11" ht="12" customHeight="1" x14ac:dyDescent="0.25">
      <c r="H18" s="107" t="s">
        <v>37</v>
      </c>
      <c r="I18" s="108">
        <v>486000</v>
      </c>
      <c r="J18" s="109">
        <v>486000</v>
      </c>
      <c r="K18" s="113"/>
    </row>
    <row r="19" spans="1:11" ht="12" customHeight="1" thickBot="1" x14ac:dyDescent="0.3">
      <c r="H19" s="110" t="s">
        <v>38</v>
      </c>
      <c r="I19" s="111">
        <v>661100</v>
      </c>
      <c r="J19" s="112">
        <v>661100</v>
      </c>
      <c r="K19" s="113"/>
    </row>
    <row r="21" spans="1:11" ht="12" customHeight="1" x14ac:dyDescent="0.25">
      <c r="I21" s="51"/>
    </row>
  </sheetData>
  <mergeCells count="2">
    <mergeCell ref="B2:C2"/>
    <mergeCell ref="I15:J15"/>
  </mergeCells>
  <printOptions horizontalCentered="1"/>
  <pageMargins left="0.15748031496062992" right="0.15748031496062992" top="0.86614173228346458" bottom="0.47244094488188981" header="0.43307086614173229" footer="0.23622047244094491"/>
  <pageSetup paperSize="9" orientation="landscape" r:id="rId1"/>
  <headerFooter alignWithMargins="0">
    <oddHeader xml:space="preserve">&amp;L&amp;"Arial,Gras"&amp;12CHIFOUMI PRODUCTIONS&amp;C&amp;"Arial,Gras"&amp;14COFILOISIRS - DEVELOPPEMENT
</oddHeader>
    <oddFooter>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DFD00-D4FF-4288-896B-D348BB6E9E8F}">
  <sheetPr>
    <pageSetUpPr fitToPage="1"/>
  </sheetPr>
  <dimension ref="A1:S34"/>
  <sheetViews>
    <sheetView zoomScaleNormal="100" workbookViewId="0">
      <selection activeCell="D7" sqref="D7"/>
    </sheetView>
  </sheetViews>
  <sheetFormatPr baseColWidth="10" defaultColWidth="11.5546875" defaultRowHeight="12" customHeight="1" x14ac:dyDescent="0.25"/>
  <cols>
    <col min="1" max="1" width="23.6640625" style="1" customWidth="1"/>
    <col min="2" max="3" width="10.6640625" style="1" customWidth="1"/>
    <col min="4" max="4" width="11.6640625" style="2" customWidth="1"/>
    <col min="5" max="6" width="6.6640625" style="1" customWidth="1"/>
    <col min="7" max="8" width="7.6640625" style="1" customWidth="1"/>
    <col min="9" max="9" width="9.6640625" style="1" customWidth="1"/>
    <col min="10" max="11" width="9.6640625" style="3" customWidth="1"/>
    <col min="12" max="12" width="1.6640625" style="1" customWidth="1"/>
    <col min="13" max="17" width="9.6640625" style="1" customWidth="1"/>
    <col min="18" max="19" width="10.6640625" style="1" customWidth="1"/>
    <col min="20" max="16384" width="11.5546875" style="1"/>
  </cols>
  <sheetData>
    <row r="1" spans="1:19" ht="12" customHeight="1" thickBot="1" x14ac:dyDescent="0.3"/>
    <row r="2" spans="1:19" s="60" customFormat="1" ht="24" customHeight="1" thickBot="1" x14ac:dyDescent="0.3">
      <c r="A2" s="4" t="s">
        <v>45</v>
      </c>
      <c r="B2" s="127" t="s">
        <v>0</v>
      </c>
      <c r="C2" s="128"/>
      <c r="D2" s="5" t="s">
        <v>1</v>
      </c>
      <c r="E2" s="6" t="s">
        <v>2</v>
      </c>
      <c r="F2" s="7" t="s">
        <v>3</v>
      </c>
      <c r="G2" s="6" t="s">
        <v>4</v>
      </c>
      <c r="H2" s="7" t="s">
        <v>5</v>
      </c>
      <c r="I2" s="8" t="s">
        <v>6</v>
      </c>
      <c r="J2" s="9" t="s">
        <v>7</v>
      </c>
      <c r="K2" s="10" t="s">
        <v>8</v>
      </c>
      <c r="M2" s="76" t="s">
        <v>13</v>
      </c>
      <c r="N2" s="76" t="s">
        <v>14</v>
      </c>
      <c r="O2" s="76" t="s">
        <v>15</v>
      </c>
      <c r="P2" s="77" t="s">
        <v>16</v>
      </c>
      <c r="Q2" s="78" t="s">
        <v>17</v>
      </c>
      <c r="R2" s="76" t="s">
        <v>18</v>
      </c>
      <c r="S2" s="79" t="s">
        <v>24</v>
      </c>
    </row>
    <row r="3" spans="1:19" ht="12" customHeight="1" x14ac:dyDescent="0.25">
      <c r="A3" s="11"/>
      <c r="B3" s="12"/>
      <c r="C3" s="13"/>
      <c r="D3" s="14"/>
      <c r="E3" s="15"/>
      <c r="G3" s="16"/>
      <c r="H3" s="17">
        <v>2</v>
      </c>
      <c r="I3" s="18"/>
      <c r="J3" s="18"/>
      <c r="K3" s="19"/>
      <c r="M3" s="64" t="s">
        <v>19</v>
      </c>
      <c r="N3" s="64" t="s">
        <v>20</v>
      </c>
      <c r="O3" s="64" t="s">
        <v>21</v>
      </c>
      <c r="P3" s="65" t="s">
        <v>22</v>
      </c>
      <c r="Q3" s="73" t="s">
        <v>25</v>
      </c>
      <c r="R3" s="64" t="s">
        <v>23</v>
      </c>
      <c r="S3" s="66"/>
    </row>
    <row r="4" spans="1:19" ht="12" customHeight="1" x14ac:dyDescent="0.25">
      <c r="A4" s="20" t="s">
        <v>12</v>
      </c>
      <c r="B4" s="21"/>
      <c r="C4" s="22"/>
      <c r="D4" s="14"/>
      <c r="E4" s="15"/>
      <c r="G4" s="15"/>
      <c r="I4" s="23"/>
      <c r="J4" s="18"/>
      <c r="K4" s="24"/>
      <c r="M4" s="62">
        <v>50000</v>
      </c>
      <c r="N4" s="62">
        <v>11500</v>
      </c>
      <c r="O4" s="62">
        <v>30000</v>
      </c>
      <c r="P4" s="70">
        <v>45000</v>
      </c>
      <c r="Q4" s="74">
        <f>30500+50000</f>
        <v>80500</v>
      </c>
      <c r="R4" s="62">
        <v>135000</v>
      </c>
      <c r="S4" s="67">
        <f>+D5-SUM(M4:R4)</f>
        <v>-352000</v>
      </c>
    </row>
    <row r="5" spans="1:19" ht="12" customHeight="1" x14ac:dyDescent="0.25">
      <c r="A5" s="11"/>
      <c r="B5" s="21"/>
      <c r="C5" s="22"/>
      <c r="D5" s="14"/>
      <c r="E5" s="15"/>
      <c r="G5" s="15"/>
      <c r="I5" s="23"/>
      <c r="J5" s="18"/>
      <c r="K5" s="24"/>
      <c r="M5" s="62"/>
      <c r="N5" s="62"/>
      <c r="O5" s="62"/>
      <c r="P5" s="71"/>
      <c r="Q5" s="74"/>
      <c r="R5" s="62"/>
      <c r="S5" s="22"/>
    </row>
    <row r="6" spans="1:19" ht="12" customHeight="1" x14ac:dyDescent="0.25">
      <c r="A6" s="48" t="s">
        <v>9</v>
      </c>
      <c r="B6" s="49">
        <v>44197</v>
      </c>
      <c r="C6" s="57">
        <v>44285</v>
      </c>
      <c r="D6" s="14">
        <v>0</v>
      </c>
      <c r="E6" s="15"/>
      <c r="F6" s="53">
        <f>DAYS360(B6,C6)+2</f>
        <v>91</v>
      </c>
      <c r="G6" s="15"/>
      <c r="H6" s="58">
        <v>1</v>
      </c>
      <c r="I6" s="23"/>
      <c r="J6" s="18">
        <f>+D6/360*F6*H6/100</f>
        <v>0</v>
      </c>
      <c r="K6" s="24"/>
      <c r="L6" s="3"/>
      <c r="M6" s="62"/>
      <c r="N6" s="62"/>
      <c r="O6" s="62"/>
      <c r="P6" s="71"/>
      <c r="Q6" s="74"/>
      <c r="R6" s="62"/>
      <c r="S6" s="22"/>
    </row>
    <row r="7" spans="1:19" ht="12" customHeight="1" x14ac:dyDescent="0.25">
      <c r="A7" s="48" t="s">
        <v>9</v>
      </c>
      <c r="B7" s="49">
        <v>44286</v>
      </c>
      <c r="C7" s="57">
        <v>44439</v>
      </c>
      <c r="D7" s="14">
        <v>352000</v>
      </c>
      <c r="E7" s="15"/>
      <c r="F7" s="53">
        <f>DAYS360(B7,C7)+3</f>
        <v>153</v>
      </c>
      <c r="G7" s="15"/>
      <c r="H7" s="58">
        <v>1</v>
      </c>
      <c r="I7" s="23"/>
      <c r="J7" s="18">
        <f>+D7/360*F7*H7/100</f>
        <v>1496</v>
      </c>
      <c r="K7" s="24"/>
      <c r="L7" s="3"/>
      <c r="M7" s="62">
        <f>$J$7/$D$7*M4</f>
        <v>212.50000000000003</v>
      </c>
      <c r="N7" s="62">
        <f t="shared" ref="N7:Q7" si="0">$J$7/$D$7*N4</f>
        <v>48.875</v>
      </c>
      <c r="O7" s="62">
        <f t="shared" si="0"/>
        <v>127.50000000000001</v>
      </c>
      <c r="P7" s="71">
        <f t="shared" si="0"/>
        <v>191.25</v>
      </c>
      <c r="Q7" s="74">
        <f t="shared" si="0"/>
        <v>342.125</v>
      </c>
      <c r="R7" s="62">
        <f>$J$7/$D$7*R4-0.01</f>
        <v>573.74</v>
      </c>
      <c r="S7" s="68">
        <f>+J7-SUM(M7:R7)-0.01</f>
        <v>-9.0951551845463996E-15</v>
      </c>
    </row>
    <row r="8" spans="1:19" ht="12" customHeight="1" x14ac:dyDescent="0.25">
      <c r="A8" s="48" t="s">
        <v>9</v>
      </c>
      <c r="B8" s="49">
        <v>44439</v>
      </c>
      <c r="C8" s="57">
        <v>44530</v>
      </c>
      <c r="D8" s="14">
        <f>+D7+D18</f>
        <v>217000</v>
      </c>
      <c r="E8" s="15"/>
      <c r="F8" s="53">
        <f>DAYS360(B8,C8)+1</f>
        <v>91</v>
      </c>
      <c r="G8" s="15"/>
      <c r="H8" s="58">
        <v>1</v>
      </c>
      <c r="I8" s="23"/>
      <c r="J8" s="18">
        <f>+D8/360*F8*H8/100</f>
        <v>548.52777777777783</v>
      </c>
      <c r="K8" s="24"/>
      <c r="L8" s="3"/>
      <c r="M8" s="62">
        <f>$J$8/$D$8*M4</f>
        <v>126.3888888888889</v>
      </c>
      <c r="N8" s="62">
        <f t="shared" ref="N8:Q8" si="1">$J$8/$D$8*N4</f>
        <v>29.069444444444446</v>
      </c>
      <c r="O8" s="62">
        <f t="shared" si="1"/>
        <v>75.833333333333343</v>
      </c>
      <c r="P8" s="62">
        <f t="shared" si="1"/>
        <v>113.75000000000001</v>
      </c>
      <c r="Q8" s="74">
        <f t="shared" si="1"/>
        <v>203.48611111111114</v>
      </c>
      <c r="R8" s="62">
        <f>$J$8/$D$8*(R4+D18)</f>
        <v>0</v>
      </c>
      <c r="S8" s="68">
        <f>+J8-SUM(M8:R8)</f>
        <v>0</v>
      </c>
    </row>
    <row r="9" spans="1:19" ht="12" customHeight="1" x14ac:dyDescent="0.25">
      <c r="A9" s="48" t="s">
        <v>9</v>
      </c>
      <c r="B9" s="49">
        <v>44530</v>
      </c>
      <c r="C9" s="57">
        <v>44620</v>
      </c>
      <c r="D9" s="14">
        <f>+D8+D19</f>
        <v>217000</v>
      </c>
      <c r="E9" s="15"/>
      <c r="F9" s="53">
        <f>DAYS360(B9,C9)+2</f>
        <v>90</v>
      </c>
      <c r="G9" s="15"/>
      <c r="H9" s="58">
        <v>1</v>
      </c>
      <c r="I9" s="23"/>
      <c r="J9" s="18">
        <f>+D9/360*F9*H9/100</f>
        <v>542.50000000000011</v>
      </c>
      <c r="K9" s="24"/>
      <c r="L9" s="3"/>
      <c r="M9" s="62">
        <f>$J9/$D9*M$14</f>
        <v>0.652927777777778</v>
      </c>
      <c r="N9" s="62">
        <f>$J9/$D9*N$14</f>
        <v>0.15021388888888895</v>
      </c>
      <c r="O9" s="62">
        <f>$J9/$D9*O$14</f>
        <v>0.39151666666666679</v>
      </c>
      <c r="P9" s="62">
        <f>$J9/$D9*P$14</f>
        <v>0.58747500000000019</v>
      </c>
      <c r="Q9" s="74">
        <f>$J9/$D9*Q$14</f>
        <v>0.39821944444444457</v>
      </c>
      <c r="R9" s="116"/>
      <c r="S9" s="68">
        <f>+J9-SUM(M9:R9)</f>
        <v>540.31964722222233</v>
      </c>
    </row>
    <row r="10" spans="1:19" ht="12" customHeight="1" x14ac:dyDescent="0.25">
      <c r="A10" s="48"/>
      <c r="B10" s="59"/>
      <c r="C10" s="57"/>
      <c r="D10" s="14"/>
      <c r="E10" s="15"/>
      <c r="F10" s="53"/>
      <c r="G10" s="15"/>
      <c r="H10" s="58"/>
      <c r="I10" s="23"/>
      <c r="J10" s="18"/>
      <c r="K10" s="24"/>
      <c r="L10" s="3"/>
      <c r="M10" s="62"/>
      <c r="N10" s="62"/>
      <c r="O10" s="62"/>
      <c r="P10" s="71"/>
      <c r="Q10" s="74"/>
      <c r="R10" s="62"/>
      <c r="S10" s="22"/>
    </row>
    <row r="11" spans="1:19" ht="12" customHeight="1" x14ac:dyDescent="0.25">
      <c r="A11" s="48" t="s">
        <v>27</v>
      </c>
      <c r="B11" s="59"/>
      <c r="C11" s="57"/>
      <c r="D11" s="14"/>
      <c r="E11" s="15"/>
      <c r="F11" s="53"/>
      <c r="G11" s="15"/>
      <c r="H11" s="58"/>
      <c r="I11" s="18"/>
      <c r="J11" s="18"/>
      <c r="K11" s="24">
        <v>120</v>
      </c>
      <c r="M11" s="62"/>
      <c r="N11" s="62"/>
      <c r="O11" s="62"/>
      <c r="P11" s="71"/>
      <c r="Q11" s="74"/>
      <c r="R11" s="62"/>
      <c r="S11" s="22"/>
    </row>
    <row r="12" spans="1:19" ht="12" customHeight="1" x14ac:dyDescent="0.25">
      <c r="A12" s="48" t="s">
        <v>28</v>
      </c>
      <c r="B12" s="59"/>
      <c r="C12" s="57"/>
      <c r="D12" s="14"/>
      <c r="E12" s="15"/>
      <c r="F12" s="53"/>
      <c r="G12" s="15"/>
      <c r="H12" s="58"/>
      <c r="I12" s="18"/>
      <c r="J12" s="18"/>
      <c r="K12" s="24">
        <v>500</v>
      </c>
      <c r="M12" s="62"/>
      <c r="N12" s="62"/>
      <c r="O12" s="62"/>
      <c r="P12" s="71"/>
      <c r="Q12" s="74"/>
      <c r="R12" s="62"/>
      <c r="S12" s="22"/>
    </row>
    <row r="13" spans="1:19" ht="12" customHeight="1" x14ac:dyDescent="0.25">
      <c r="A13" s="11"/>
      <c r="B13" s="21"/>
      <c r="C13" s="22"/>
      <c r="D13" s="14"/>
      <c r="E13" s="15"/>
      <c r="G13" s="15"/>
      <c r="I13" s="18"/>
      <c r="J13" s="18"/>
      <c r="K13" s="25"/>
      <c r="M13" s="62">
        <v>50000</v>
      </c>
      <c r="N13" s="62">
        <v>11500</v>
      </c>
      <c r="O13" s="62">
        <v>30000</v>
      </c>
      <c r="P13" s="71">
        <v>45000</v>
      </c>
      <c r="Q13" s="74">
        <v>30500</v>
      </c>
      <c r="R13" s="62">
        <v>135000</v>
      </c>
      <c r="S13" s="68">
        <f>+D14-SUM(M13:R13)</f>
        <v>0</v>
      </c>
    </row>
    <row r="14" spans="1:19" ht="12" customHeight="1" x14ac:dyDescent="0.25">
      <c r="A14" s="48" t="s">
        <v>11</v>
      </c>
      <c r="B14" s="49">
        <v>44197</v>
      </c>
      <c r="C14" s="50">
        <v>44286</v>
      </c>
      <c r="D14" s="51">
        <v>302000</v>
      </c>
      <c r="E14" s="52">
        <f t="shared" ref="E14" si="2">DAYS360(B14,C14)</f>
        <v>90</v>
      </c>
      <c r="F14" s="53">
        <f>SUM(IF(E14&lt;31,0,IF(E14&lt;46,1,IF(E14&lt;61,2,IF(E14&lt;76,3,4))))+E14)</f>
        <v>94</v>
      </c>
      <c r="G14" s="54">
        <f>2-$H$3</f>
        <v>0</v>
      </c>
      <c r="H14" s="55">
        <f t="shared" ref="H14" si="3">+G14+$H$3</f>
        <v>2</v>
      </c>
      <c r="I14" s="18">
        <f t="shared" ref="I14" si="4">+D14/360*F14*H14/100</f>
        <v>1577.1111111111113</v>
      </c>
      <c r="J14" s="18"/>
      <c r="K14" s="25"/>
      <c r="L14" s="14"/>
      <c r="M14" s="62">
        <f>$I$14/$D$14*M13+0.06</f>
        <v>261.17111111111114</v>
      </c>
      <c r="N14" s="62">
        <f>$I$14/$D$14*N13+0.03</f>
        <v>60.085555555555565</v>
      </c>
      <c r="O14" s="62">
        <f>$I$14/$D$14*O13-0.06</f>
        <v>156.60666666666668</v>
      </c>
      <c r="P14" s="71">
        <f>$I$14/$D$14*P13-0.01</f>
        <v>234.99000000000004</v>
      </c>
      <c r="Q14" s="74">
        <f>$I$14/$D$14*Q13+0.01</f>
        <v>159.28777777777779</v>
      </c>
      <c r="R14" s="62">
        <f>$I$14/$D$14*R13-0.04</f>
        <v>704.96000000000015</v>
      </c>
      <c r="S14" s="68">
        <f>+I14-SUM(M14:R14)-0.01</f>
        <v>-2.3646883062777846E-13</v>
      </c>
    </row>
    <row r="15" spans="1:19" ht="12" customHeight="1" x14ac:dyDescent="0.25">
      <c r="A15" s="48" t="s">
        <v>26</v>
      </c>
      <c r="B15" s="49">
        <v>44225</v>
      </c>
      <c r="C15" s="50">
        <v>44286</v>
      </c>
      <c r="D15" s="51">
        <v>50000</v>
      </c>
      <c r="E15" s="52">
        <f t="shared" ref="E15" si="5">DAYS360(B15,C15)</f>
        <v>62</v>
      </c>
      <c r="F15" s="53">
        <f>SUM(IF(E15&lt;31,0,IF(E15&lt;46,1,IF(E15&lt;61,2,IF(E15&lt;76,3,4))))+E15)-1</f>
        <v>64</v>
      </c>
      <c r="G15" s="54">
        <f>2-$H$3</f>
        <v>0</v>
      </c>
      <c r="H15" s="55">
        <f t="shared" ref="H15" si="6">+G15+$H$3</f>
        <v>2</v>
      </c>
      <c r="I15" s="18">
        <f t="shared" ref="I15" si="7">+D15/360*F15*H15/100</f>
        <v>177.77777777777777</v>
      </c>
      <c r="J15" s="18"/>
      <c r="K15" s="25"/>
      <c r="L15" s="51"/>
      <c r="M15" s="62"/>
      <c r="N15" s="62"/>
      <c r="O15" s="62"/>
      <c r="P15" s="71"/>
      <c r="Q15" s="74">
        <f>+I15</f>
        <v>177.77777777777777</v>
      </c>
      <c r="R15" s="62"/>
      <c r="S15" s="22"/>
    </row>
    <row r="16" spans="1:19" ht="12" customHeight="1" x14ac:dyDescent="0.25">
      <c r="A16" s="48"/>
      <c r="B16" s="49"/>
      <c r="C16" s="50"/>
      <c r="D16" s="51"/>
      <c r="E16" s="52"/>
      <c r="F16" s="53"/>
      <c r="G16" s="54"/>
      <c r="H16" s="55"/>
      <c r="I16" s="18"/>
      <c r="J16" s="18"/>
      <c r="K16" s="25"/>
      <c r="L16" s="14"/>
      <c r="M16" s="62">
        <f>+M13</f>
        <v>50000</v>
      </c>
      <c r="N16" s="62">
        <f>+N13</f>
        <v>11500</v>
      </c>
      <c r="O16" s="62">
        <f>+O13</f>
        <v>30000</v>
      </c>
      <c r="P16" s="71">
        <f>+P13</f>
        <v>45000</v>
      </c>
      <c r="Q16" s="74">
        <f>+Q13+D15</f>
        <v>80500</v>
      </c>
      <c r="R16" s="62">
        <f>+R13</f>
        <v>135000</v>
      </c>
      <c r="S16" s="68">
        <f>+D17-SUM(M16:R16)</f>
        <v>0</v>
      </c>
    </row>
    <row r="17" spans="1:19" ht="12" customHeight="1" x14ac:dyDescent="0.25">
      <c r="A17" s="48" t="s">
        <v>11</v>
      </c>
      <c r="B17" s="49">
        <v>44286</v>
      </c>
      <c r="C17" s="50">
        <v>44377</v>
      </c>
      <c r="D17" s="51">
        <f>SUM(D14:D16)</f>
        <v>352000</v>
      </c>
      <c r="E17" s="52">
        <f t="shared" ref="E17" si="8">DAYS360(B17,C17)</f>
        <v>90</v>
      </c>
      <c r="F17" s="53">
        <f>SUM(IF(E17&lt;31,0,IF(E17&lt;46,1,IF(E17&lt;61,2,IF(E17&lt;76,3,4))))+E17)+1</f>
        <v>95</v>
      </c>
      <c r="G17" s="54">
        <f>2-$H$3</f>
        <v>0</v>
      </c>
      <c r="H17" s="55">
        <f t="shared" ref="H17" si="9">+G17+$H$3</f>
        <v>2</v>
      </c>
      <c r="I17" s="18">
        <f t="shared" ref="I17" si="10">+D17/360*F17*H17/100</f>
        <v>1857.7777777777778</v>
      </c>
      <c r="J17" s="18"/>
      <c r="K17" s="25"/>
      <c r="L17" s="14"/>
      <c r="M17" s="62">
        <f>$I$17/$D$17*M16-0.15</f>
        <v>263.73888888888894</v>
      </c>
      <c r="N17" s="62">
        <f>$I$17/$D$17*N16+0.1</f>
        <v>60.794444444444444</v>
      </c>
      <c r="O17" s="62">
        <f>$I$17/$D$17*O16-0.09</f>
        <v>158.24333333333334</v>
      </c>
      <c r="P17" s="71">
        <f>$I$17/$D$17*P16+0.21</f>
        <v>237.71</v>
      </c>
      <c r="Q17" s="74">
        <f>$I$17/$D$17*Q16+0.01</f>
        <v>424.87111111111113</v>
      </c>
      <c r="R17" s="62">
        <f>$I$17/$D$17*R16-0.07</f>
        <v>712.43</v>
      </c>
      <c r="S17" s="68">
        <f>+I17-SUM(M17:R17)+0.01</f>
        <v>2.3646883062777846E-13</v>
      </c>
    </row>
    <row r="18" spans="1:19" ht="12" customHeight="1" x14ac:dyDescent="0.25">
      <c r="A18" s="48" t="s">
        <v>29</v>
      </c>
      <c r="B18" s="49">
        <v>44348</v>
      </c>
      <c r="C18" s="50">
        <v>44377</v>
      </c>
      <c r="D18" s="51">
        <v>-135000</v>
      </c>
      <c r="E18" s="52">
        <f t="shared" ref="E18" si="11">DAYS360(B18,C18)</f>
        <v>29</v>
      </c>
      <c r="F18" s="53">
        <f>SUM(IF(E18&lt;31,0,IF(E18&lt;46,1,IF(E18&lt;61,2,IF(E18&lt;76,3,4))))+E18)</f>
        <v>29</v>
      </c>
      <c r="G18" s="54">
        <f>2-$H$3</f>
        <v>0</v>
      </c>
      <c r="H18" s="55">
        <f t="shared" ref="H18" si="12">+G18+$H$3</f>
        <v>2</v>
      </c>
      <c r="I18" s="18">
        <f t="shared" ref="I18" si="13">+D18/360*F18*H18/100</f>
        <v>-217.5</v>
      </c>
      <c r="J18" s="18"/>
      <c r="K18" s="25"/>
      <c r="L18" s="14"/>
      <c r="M18" s="62"/>
      <c r="N18" s="62"/>
      <c r="O18" s="62"/>
      <c r="P18" s="71"/>
      <c r="Q18" s="74"/>
      <c r="R18" s="62">
        <f>+I18</f>
        <v>-217.5</v>
      </c>
      <c r="S18" s="22"/>
    </row>
    <row r="19" spans="1:19" ht="12" customHeight="1" x14ac:dyDescent="0.25">
      <c r="A19" s="48"/>
      <c r="B19" s="49"/>
      <c r="C19" s="50"/>
      <c r="D19" s="51"/>
      <c r="E19" s="52"/>
      <c r="F19" s="53"/>
      <c r="G19" s="54"/>
      <c r="H19" s="55"/>
      <c r="I19" s="18"/>
      <c r="J19" s="18"/>
      <c r="K19" s="25"/>
      <c r="L19" s="14"/>
      <c r="M19" s="62">
        <f>+M16</f>
        <v>50000</v>
      </c>
      <c r="N19" s="62">
        <f>+N16</f>
        <v>11500</v>
      </c>
      <c r="O19" s="62">
        <f>+O16</f>
        <v>30000</v>
      </c>
      <c r="P19" s="71">
        <f>+P16</f>
        <v>45000</v>
      </c>
      <c r="Q19" s="74">
        <f>+Q16</f>
        <v>80500</v>
      </c>
      <c r="R19" s="62">
        <f>+R16+D18</f>
        <v>0</v>
      </c>
      <c r="S19" s="68">
        <f>+D20-SUM(M19:R19)</f>
        <v>0</v>
      </c>
    </row>
    <row r="20" spans="1:19" ht="12" customHeight="1" x14ac:dyDescent="0.25">
      <c r="A20" s="48" t="s">
        <v>11</v>
      </c>
      <c r="B20" s="49">
        <v>44377</v>
      </c>
      <c r="C20" s="50">
        <v>44439</v>
      </c>
      <c r="D20" s="51">
        <f>SUM(D17:D19)</f>
        <v>217000</v>
      </c>
      <c r="E20" s="52">
        <f t="shared" ref="E20" si="14">DAYS360(B20,C20)</f>
        <v>60</v>
      </c>
      <c r="F20" s="53">
        <f>SUM(IF(E20&lt;31,0,IF(E20&lt;46,1,IF(E20&lt;61,2,IF(E20&lt;76,3,4))))+E20)+3</f>
        <v>65</v>
      </c>
      <c r="G20" s="54">
        <f>2-$H$15</f>
        <v>0</v>
      </c>
      <c r="H20" s="55">
        <f>+G20+$H$15</f>
        <v>2</v>
      </c>
      <c r="I20" s="18">
        <f t="shared" ref="I20" si="15">+D20/360*F20*H20/100</f>
        <v>783.6111111111112</v>
      </c>
      <c r="J20" s="18"/>
      <c r="K20" s="25"/>
      <c r="L20" s="14"/>
      <c r="M20" s="62">
        <f>$I$20/$D$20*M19</f>
        <v>180.55555555555557</v>
      </c>
      <c r="N20" s="62">
        <f t="shared" ref="N20:P20" si="16">$I$20/$D$20*N19</f>
        <v>41.527777777777779</v>
      </c>
      <c r="O20" s="62">
        <f t="shared" si="16"/>
        <v>108.33333333333334</v>
      </c>
      <c r="P20" s="62">
        <f t="shared" si="16"/>
        <v>162.5</v>
      </c>
      <c r="Q20" s="74">
        <f>$I$20/$D$20*Q19</f>
        <v>290.69444444444446</v>
      </c>
      <c r="R20" s="62">
        <f>$I$17/$D$17*R19</f>
        <v>0</v>
      </c>
      <c r="S20" s="68">
        <f>+I20-SUM(M20:R20)</f>
        <v>0</v>
      </c>
    </row>
    <row r="21" spans="1:19" ht="12" customHeight="1" x14ac:dyDescent="0.25">
      <c r="A21" s="48"/>
      <c r="B21" s="49"/>
      <c r="C21" s="50"/>
      <c r="D21" s="51"/>
      <c r="E21" s="52"/>
      <c r="F21" s="53"/>
      <c r="G21" s="54"/>
      <c r="H21" s="55"/>
      <c r="I21" s="18"/>
      <c r="J21" s="18"/>
      <c r="K21" s="25"/>
      <c r="L21" s="14"/>
      <c r="M21" s="62">
        <f t="shared" ref="M21:R21" si="17">+M19</f>
        <v>50000</v>
      </c>
      <c r="N21" s="62">
        <f t="shared" si="17"/>
        <v>11500</v>
      </c>
      <c r="O21" s="62">
        <f t="shared" si="17"/>
        <v>30000</v>
      </c>
      <c r="P21" s="71">
        <f t="shared" si="17"/>
        <v>45000</v>
      </c>
      <c r="Q21" s="74">
        <f t="shared" si="17"/>
        <v>80500</v>
      </c>
      <c r="R21" s="62">
        <f t="shared" si="17"/>
        <v>0</v>
      </c>
      <c r="S21" s="68">
        <f>+D22-SUM(M21:R21)</f>
        <v>0</v>
      </c>
    </row>
    <row r="22" spans="1:19" ht="12" customHeight="1" x14ac:dyDescent="0.25">
      <c r="A22" s="48" t="s">
        <v>11</v>
      </c>
      <c r="B22" s="49">
        <v>44439</v>
      </c>
      <c r="C22" s="50">
        <v>44530</v>
      </c>
      <c r="D22" s="51">
        <f>SUM(D19:D21)</f>
        <v>217000</v>
      </c>
      <c r="E22" s="52">
        <f t="shared" ref="E22" si="18">DAYS360(B22,C22)</f>
        <v>90</v>
      </c>
      <c r="F22" s="53">
        <f>SUM(IF(E22&lt;31,0,IF(E22&lt;46,1,IF(E22&lt;61,2,IF(E22&lt;76,3,4))))+E22)+1</f>
        <v>95</v>
      </c>
      <c r="G22" s="54">
        <f>2-$H$14</f>
        <v>0</v>
      </c>
      <c r="H22" s="55">
        <f>+G22+$H$14</f>
        <v>2</v>
      </c>
      <c r="I22" s="18">
        <f t="shared" ref="I22" si="19">+D22/360*F22*H22/100</f>
        <v>1145.2777777777778</v>
      </c>
      <c r="J22" s="18"/>
      <c r="K22" s="25"/>
      <c r="L22" s="14"/>
      <c r="M22" s="62">
        <f>$I$22/$D$22*M21</f>
        <v>263.88888888888891</v>
      </c>
      <c r="N22" s="62">
        <f t="shared" ref="N22:R22" si="20">$I$22/$D$22*N21</f>
        <v>60.694444444444443</v>
      </c>
      <c r="O22" s="62">
        <f t="shared" si="20"/>
        <v>158.33333333333334</v>
      </c>
      <c r="P22" s="62">
        <f t="shared" si="20"/>
        <v>237.5</v>
      </c>
      <c r="Q22" s="74">
        <f>$I$22/$D$22*Q21+0.01</f>
        <v>424.87111111111113</v>
      </c>
      <c r="R22" s="62">
        <f t="shared" si="20"/>
        <v>0</v>
      </c>
      <c r="S22" s="68">
        <f>+I22-SUM(M22:R22)+0.01</f>
        <v>9.0951551845463996E-15</v>
      </c>
    </row>
    <row r="23" spans="1:19" ht="12" customHeight="1" x14ac:dyDescent="0.25">
      <c r="A23" s="48"/>
      <c r="B23" s="49"/>
      <c r="C23" s="50"/>
      <c r="D23" s="51"/>
      <c r="E23" s="52"/>
      <c r="F23" s="53"/>
      <c r="G23" s="54"/>
      <c r="H23" s="55"/>
      <c r="I23" s="18"/>
      <c r="J23" s="18"/>
      <c r="K23" s="25"/>
      <c r="L23" s="14"/>
      <c r="M23" s="62">
        <f t="shared" ref="M23:Q23" si="21">+M21</f>
        <v>50000</v>
      </c>
      <c r="N23" s="62">
        <f t="shared" si="21"/>
        <v>11500</v>
      </c>
      <c r="O23" s="62">
        <f t="shared" si="21"/>
        <v>30000</v>
      </c>
      <c r="P23" s="71">
        <f t="shared" si="21"/>
        <v>45000</v>
      </c>
      <c r="Q23" s="74">
        <f t="shared" si="21"/>
        <v>80500</v>
      </c>
      <c r="R23" s="116"/>
      <c r="S23" s="68">
        <f>+D24-SUM(M23:R23)</f>
        <v>0</v>
      </c>
    </row>
    <row r="24" spans="1:19" ht="12" customHeight="1" x14ac:dyDescent="0.25">
      <c r="A24" s="48" t="s">
        <v>11</v>
      </c>
      <c r="B24" s="49">
        <v>44530</v>
      </c>
      <c r="C24" s="50">
        <v>44620</v>
      </c>
      <c r="D24" s="51">
        <f>SUM(D21:D23)</f>
        <v>217000</v>
      </c>
      <c r="E24" s="52">
        <f t="shared" ref="E24" si="22">DAYS360(B24,C24)</f>
        <v>88</v>
      </c>
      <c r="F24" s="53">
        <f>SUM(IF(E24&lt;31,0,IF(E24&lt;46,1,IF(E24&lt;61,2,IF(E24&lt;76,3,4))))+E24)+2</f>
        <v>94</v>
      </c>
      <c r="G24" s="54">
        <f>2-$H$13</f>
        <v>2</v>
      </c>
      <c r="H24" s="55">
        <f>+G24+$H$13</f>
        <v>2</v>
      </c>
      <c r="I24" s="18">
        <f t="shared" ref="I24" si="23">+D24/360*F24*H24/100</f>
        <v>1133.2222222222224</v>
      </c>
      <c r="J24" s="18"/>
      <c r="K24" s="25"/>
      <c r="L24" s="14"/>
      <c r="M24" s="62">
        <f>$I$24/$D$24*M23</f>
        <v>261.11111111111114</v>
      </c>
      <c r="N24" s="62">
        <f t="shared" ref="N24:P24" si="24">$I$24/$D$24*N23</f>
        <v>60.055555555555564</v>
      </c>
      <c r="O24" s="62">
        <f t="shared" si="24"/>
        <v>156.66666666666669</v>
      </c>
      <c r="P24" s="62">
        <f t="shared" si="24"/>
        <v>235.00000000000003</v>
      </c>
      <c r="Q24" s="74">
        <f>$I$24/$D$24*Q23-0.01</f>
        <v>420.37888888888892</v>
      </c>
      <c r="R24" s="116"/>
      <c r="S24" s="68">
        <f>+I24-SUM(M24:R24)-0.01</f>
        <v>-9.0951551845463996E-15</v>
      </c>
    </row>
    <row r="25" spans="1:19" ht="12" customHeight="1" thickBot="1" x14ac:dyDescent="0.3">
      <c r="A25" s="26"/>
      <c r="B25" s="27"/>
      <c r="C25" s="28"/>
      <c r="D25" s="29"/>
      <c r="E25" s="30"/>
      <c r="F25" s="31"/>
      <c r="G25" s="30"/>
      <c r="H25" s="31"/>
      <c r="I25" s="32"/>
      <c r="J25" s="32"/>
      <c r="K25" s="33"/>
      <c r="M25" s="63"/>
      <c r="N25" s="63"/>
      <c r="O25" s="63"/>
      <c r="P25" s="72"/>
      <c r="Q25" s="75"/>
      <c r="R25" s="63"/>
      <c r="S25" s="69"/>
    </row>
    <row r="26" spans="1:19" s="42" customFormat="1" ht="24" customHeight="1" thickBot="1" x14ac:dyDescent="0.3">
      <c r="A26" s="34" t="s">
        <v>10</v>
      </c>
      <c r="B26" s="35"/>
      <c r="C26" s="36"/>
      <c r="D26" s="37">
        <f>SUM(D24:D25)</f>
        <v>217000</v>
      </c>
      <c r="E26" s="38"/>
      <c r="F26" s="39"/>
      <c r="G26" s="38"/>
      <c r="H26" s="38"/>
      <c r="I26" s="40">
        <f>SUM(I3:I25)+0.01</f>
        <v>6457.2877777777794</v>
      </c>
      <c r="J26" s="40">
        <f>SUM(J3:J25)</f>
        <v>2587.0277777777778</v>
      </c>
      <c r="K26" s="41">
        <f>SUM(K3:K25)</f>
        <v>620</v>
      </c>
      <c r="M26" s="61"/>
      <c r="N26" s="61"/>
      <c r="O26" s="61"/>
      <c r="P26" s="61"/>
      <c r="Q26" s="61"/>
      <c r="R26" s="61"/>
    </row>
    <row r="27" spans="1:19" s="42" customFormat="1" ht="24" customHeight="1" thickBot="1" x14ac:dyDescent="0.3">
      <c r="A27" s="43"/>
      <c r="B27" s="44"/>
      <c r="C27" s="44"/>
      <c r="D27" s="45"/>
      <c r="E27" s="44"/>
      <c r="F27" s="44"/>
      <c r="G27" s="44"/>
      <c r="H27" s="46"/>
      <c r="I27" s="129">
        <f>+I26+J26</f>
        <v>9044.3155555555568</v>
      </c>
      <c r="J27" s="130"/>
      <c r="K27" s="47"/>
      <c r="M27" s="61"/>
      <c r="N27" s="61"/>
      <c r="O27" s="61"/>
      <c r="P27" s="61"/>
      <c r="Q27" s="61"/>
      <c r="R27" s="61"/>
    </row>
    <row r="29" spans="1:19" ht="12" customHeight="1" x14ac:dyDescent="0.25">
      <c r="A29" s="56"/>
      <c r="B29" s="56"/>
      <c r="D29" s="14"/>
      <c r="E29" s="56"/>
      <c r="I29" s="3"/>
    </row>
    <row r="30" spans="1:19" ht="12" customHeight="1" x14ac:dyDescent="0.25">
      <c r="I30" s="3"/>
    </row>
    <row r="31" spans="1:19" ht="12" customHeight="1" x14ac:dyDescent="0.25">
      <c r="I31" s="14"/>
    </row>
    <row r="32" spans="1:19" ht="12" customHeight="1" x14ac:dyDescent="0.25">
      <c r="I32" s="3"/>
    </row>
    <row r="33" spans="9:17" ht="12" customHeight="1" x14ac:dyDescent="0.25">
      <c r="I33" s="3"/>
    </row>
    <row r="34" spans="9:17" ht="12" customHeight="1" x14ac:dyDescent="0.25">
      <c r="I34" s="3"/>
      <c r="Q34" s="3"/>
    </row>
  </sheetData>
  <mergeCells count="2">
    <mergeCell ref="I27:J27"/>
    <mergeCell ref="B2:C2"/>
  </mergeCells>
  <printOptions horizontalCentered="1"/>
  <pageMargins left="0.15748031496062992" right="0.15748031496062992" top="0.86614173228346458" bottom="0.47244094488188981" header="0.43307086614173229" footer="0.23622047244094491"/>
  <pageSetup paperSize="9" scale="82" orientation="landscape" r:id="rId1"/>
  <headerFooter alignWithMargins="0">
    <oddHeader>&amp;L&amp;"Arial,Gras"&amp;12CHIFOUMI PRODUCTIONS&amp;C&amp;"Arial,Gras"&amp;14COFILOISIRS - DEVELOPPEMENT</oddHead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22</vt:i4>
      </vt:variant>
    </vt:vector>
  </HeadingPairs>
  <TitlesOfParts>
    <vt:vector size="33" baseType="lpstr">
      <vt:lpstr>TOTAUX</vt:lpstr>
      <vt:lpstr>2023</vt:lpstr>
      <vt:lpstr>BILAN 31.03.2023</vt:lpstr>
      <vt:lpstr>2022</vt:lpstr>
      <vt:lpstr>BILAN 31.12.2022</vt:lpstr>
      <vt:lpstr>BILAN 30.09.2022</vt:lpstr>
      <vt:lpstr>BILAN 30.06.2022</vt:lpstr>
      <vt:lpstr>BILAN 31.03.2022</vt:lpstr>
      <vt:lpstr>2021</vt:lpstr>
      <vt:lpstr>BILAN 30.06.2021</vt:lpstr>
      <vt:lpstr>30.06.2021</vt:lpstr>
      <vt:lpstr>'2021'!Impression_des_titres</vt:lpstr>
      <vt:lpstr>'2022'!Impression_des_titres</vt:lpstr>
      <vt:lpstr>'2023'!Impression_des_titres</vt:lpstr>
      <vt:lpstr>'30.06.2021'!Impression_des_titres</vt:lpstr>
      <vt:lpstr>'BILAN 30.06.2021'!Impression_des_titres</vt:lpstr>
      <vt:lpstr>'BILAN 30.06.2022'!Impression_des_titres</vt:lpstr>
      <vt:lpstr>'BILAN 30.09.2022'!Impression_des_titres</vt:lpstr>
      <vt:lpstr>'BILAN 31.03.2022'!Impression_des_titres</vt:lpstr>
      <vt:lpstr>'BILAN 31.03.2023'!Impression_des_titres</vt:lpstr>
      <vt:lpstr>'BILAN 31.12.2022'!Impression_des_titres</vt:lpstr>
      <vt:lpstr>TOTAUX!Impression_des_titres</vt:lpstr>
      <vt:lpstr>'2021'!Zone_d_impression</vt:lpstr>
      <vt:lpstr>'2022'!Zone_d_impression</vt:lpstr>
      <vt:lpstr>'2023'!Zone_d_impression</vt:lpstr>
      <vt:lpstr>'30.06.2021'!Zone_d_impression</vt:lpstr>
      <vt:lpstr>'BILAN 30.06.2021'!Zone_d_impression</vt:lpstr>
      <vt:lpstr>'BILAN 30.06.2022'!Zone_d_impression</vt:lpstr>
      <vt:lpstr>'BILAN 30.09.2022'!Zone_d_impression</vt:lpstr>
      <vt:lpstr>'BILAN 31.03.2022'!Zone_d_impression</vt:lpstr>
      <vt:lpstr>'BILAN 31.03.2023'!Zone_d_impression</vt:lpstr>
      <vt:lpstr>'BILAN 31.12.2022'!Zone_d_impression</vt:lpstr>
      <vt:lpstr>TOTAUX!Zone_d_impression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</dc:creator>
  <cp:lastModifiedBy>Elisabeth Wittersheim</cp:lastModifiedBy>
  <cp:lastPrinted>2023-07-03T13:34:03Z</cp:lastPrinted>
  <dcterms:created xsi:type="dcterms:W3CDTF">2020-01-13T13:10:32Z</dcterms:created>
  <dcterms:modified xsi:type="dcterms:W3CDTF">2023-09-30T09:23:10Z</dcterms:modified>
</cp:coreProperties>
</file>